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helandouglas-my.sharepoint.com/personal/chad_chelan-douglas_org/Documents/Apple Capital Loop/Letters_2021/NEW_DOCS/"/>
    </mc:Choice>
  </mc:AlternateContent>
  <xr:revisionPtr revIDLastSave="0" documentId="8_{CA985473-3AEF-4463-9BF1-C875B8AA5987}" xr6:coauthVersionLast="46" xr6:coauthVersionMax="46" xr10:uidLastSave="{00000000-0000-0000-0000-000000000000}"/>
  <bookViews>
    <workbookView xWindow="28680" yWindow="-120" windowWidth="29040" windowHeight="15990" xr2:uid="{00000000-000D-0000-FFFF-FFFF00000000}"/>
  </bookViews>
  <sheets>
    <sheet name="Summary Sheet - All Projects" sheetId="10" r:id="rId1"/>
    <sheet name="Summary by Phase" sheetId="14" r:id="rId2"/>
    <sheet name="Schedule" sheetId="17" r:id="rId3"/>
    <sheet name="Eligibility Breakdown" sheetId="21" r:id="rId4"/>
    <sheet name="Funding Source Summary" sheetId="19" r:id="rId5"/>
    <sheet name="Independent Utility" sheetId="20" r:id="rId6"/>
    <sheet name="1 North Wenatchee Ave" sheetId="11" r:id="rId7"/>
    <sheet name="2 Confluence Parkway" sheetId="4" r:id="rId8"/>
    <sheet name="3 Cascade Int" sheetId="7" r:id="rId9"/>
    <sheet name="4 Sunset Highway" sheetId="9" r:id="rId10"/>
    <sheet name="Match Calc - Baseline" sheetId="18" r:id="rId11"/>
  </sheets>
  <definedNames>
    <definedName name="_xlnm.Print_Area" localSheetId="3">'Eligibility Breakdown'!$A$47:$H$136</definedName>
    <definedName name="_xlnm.Print_Area" localSheetId="5">'Independent Utility'!$A$47:$I$134</definedName>
    <definedName name="_xlnm.Print_Area" localSheetId="1">'Summary by Phase'!$A$1:$Q$91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04" i="20" l="1"/>
  <c r="H204" i="20"/>
  <c r="I204" i="20"/>
  <c r="F204" i="20"/>
  <c r="E204" i="20"/>
  <c r="D204" i="20"/>
  <c r="E154" i="20" l="1"/>
  <c r="F154" i="20"/>
  <c r="G154" i="20"/>
  <c r="H154" i="20"/>
  <c r="D154" i="20"/>
  <c r="G158" i="20"/>
  <c r="H158" i="20"/>
  <c r="F158" i="20"/>
  <c r="F164" i="20" l="1"/>
  <c r="H206" i="20" l="1"/>
  <c r="E140" i="19"/>
  <c r="E46" i="19" l="1"/>
  <c r="O55" i="14"/>
  <c r="P55" i="14"/>
  <c r="M54" i="14"/>
  <c r="M51" i="14" s="1"/>
  <c r="K53" i="14"/>
  <c r="K51" i="14" s="1"/>
  <c r="D99" i="14"/>
  <c r="F150" i="19"/>
  <c r="R26" i="11"/>
  <c r="R25" i="11"/>
  <c r="R23" i="11"/>
  <c r="K82" i="10"/>
  <c r="M83" i="10"/>
  <c r="L87" i="10"/>
  <c r="O84" i="10"/>
  <c r="O85" i="10"/>
  <c r="O86" i="10"/>
  <c r="M92" i="10"/>
  <c r="P95" i="10"/>
  <c r="P94" i="10"/>
  <c r="P93" i="10"/>
  <c r="R136" i="17"/>
  <c r="R128" i="17"/>
  <c r="R119" i="17"/>
  <c r="R110" i="17"/>
  <c r="R108" i="17"/>
  <c r="R100" i="17"/>
  <c r="R91" i="17"/>
  <c r="R82" i="17"/>
  <c r="R80" i="17"/>
  <c r="R79" i="17"/>
  <c r="R70" i="17"/>
  <c r="R61" i="17"/>
  <c r="R52" i="17"/>
  <c r="R50" i="17"/>
  <c r="R43" i="17"/>
  <c r="R40" i="17"/>
  <c r="R39" i="17"/>
  <c r="R37" i="17"/>
  <c r="R35" i="17"/>
  <c r="R32" i="17"/>
  <c r="R31" i="17"/>
  <c r="R30" i="17"/>
  <c r="K26" i="17"/>
  <c r="L26" i="17"/>
  <c r="M26" i="17"/>
  <c r="N26" i="17"/>
  <c r="O26" i="17"/>
  <c r="P26" i="17"/>
  <c r="Q26" i="17"/>
  <c r="J26" i="17"/>
  <c r="H26" i="17"/>
  <c r="I26" i="17"/>
  <c r="G26" i="17"/>
  <c r="F26" i="17"/>
  <c r="R23" i="17"/>
  <c r="R19" i="17"/>
  <c r="R20" i="17"/>
  <c r="R21" i="17"/>
  <c r="R22" i="17"/>
  <c r="R24" i="17"/>
  <c r="R25" i="17"/>
  <c r="R27" i="17"/>
  <c r="R28" i="17"/>
  <c r="R29" i="17"/>
  <c r="R33" i="17"/>
  <c r="R34" i="17"/>
  <c r="R36" i="17"/>
  <c r="R38" i="17"/>
  <c r="R41" i="17"/>
  <c r="R42" i="17"/>
  <c r="R44" i="17"/>
  <c r="D108" i="21"/>
  <c r="D110" i="21"/>
  <c r="D61" i="21"/>
  <c r="R91" i="19"/>
  <c r="S91" i="19"/>
  <c r="R26" i="17" l="1"/>
  <c r="I80" i="4"/>
  <c r="H80" i="4"/>
  <c r="H79" i="4"/>
  <c r="G82" i="4"/>
  <c r="D64" i="4"/>
  <c r="S61" i="19"/>
  <c r="Q62" i="19"/>
  <c r="Q63" i="19"/>
  <c r="Q64" i="19"/>
  <c r="Q65" i="19"/>
  <c r="Q66" i="19"/>
  <c r="Q67" i="19"/>
  <c r="Q68" i="19"/>
  <c r="Q69" i="19"/>
  <c r="Q70" i="19"/>
  <c r="Q71" i="19"/>
  <c r="Q72" i="19"/>
  <c r="Q73" i="19"/>
  <c r="Q74" i="19"/>
  <c r="Q75" i="19"/>
  <c r="T75" i="19" s="1"/>
  <c r="Q76" i="19"/>
  <c r="Q77" i="19"/>
  <c r="T77" i="19" s="1"/>
  <c r="Q78" i="19"/>
  <c r="T78" i="19" s="1"/>
  <c r="Q79" i="19"/>
  <c r="T79" i="19" s="1"/>
  <c r="Q81" i="19"/>
  <c r="T81" i="19" s="1"/>
  <c r="Q83" i="19"/>
  <c r="T83" i="19" s="1"/>
  <c r="Q84" i="19"/>
  <c r="T84" i="19" s="1"/>
  <c r="Q85" i="19"/>
  <c r="T85" i="19" s="1"/>
  <c r="Q86" i="19"/>
  <c r="T86" i="19" s="1"/>
  <c r="Q87" i="19"/>
  <c r="T87" i="19" s="1"/>
  <c r="Q88" i="19"/>
  <c r="T88" i="19" s="1"/>
  <c r="Q89" i="19"/>
  <c r="T89" i="19" s="1"/>
  <c r="Q90" i="19"/>
  <c r="T90" i="19" s="1"/>
  <c r="Q92" i="19"/>
  <c r="T92" i="19" s="1"/>
  <c r="Q93" i="19"/>
  <c r="T93" i="19" s="1"/>
  <c r="Q94" i="19"/>
  <c r="T94" i="19" s="1"/>
  <c r="Q95" i="19"/>
  <c r="T95" i="19" s="1"/>
  <c r="Q96" i="19"/>
  <c r="T96" i="19" s="1"/>
  <c r="Q97" i="19"/>
  <c r="T97" i="19" s="1"/>
  <c r="Q98" i="19"/>
  <c r="T98" i="19" s="1"/>
  <c r="Q99" i="19"/>
  <c r="T99" i="19" s="1"/>
  <c r="Q101" i="19"/>
  <c r="T101" i="19" s="1"/>
  <c r="Q102" i="19"/>
  <c r="T102" i="19" s="1"/>
  <c r="Q103" i="19"/>
  <c r="T103" i="19" s="1"/>
  <c r="Q104" i="19"/>
  <c r="T104" i="19" s="1"/>
  <c r="Q105" i="19"/>
  <c r="T105" i="19" s="1"/>
  <c r="Q106" i="19"/>
  <c r="T106" i="19" s="1"/>
  <c r="Q107" i="19"/>
  <c r="Q109" i="19"/>
  <c r="T109" i="19" s="1"/>
  <c r="Q111" i="19"/>
  <c r="T111" i="19" s="1"/>
  <c r="Q112" i="19"/>
  <c r="T112" i="19" s="1"/>
  <c r="Q113" i="19"/>
  <c r="T113" i="19" s="1"/>
  <c r="Q114" i="19"/>
  <c r="T114" i="19" s="1"/>
  <c r="Q115" i="19"/>
  <c r="T115" i="19" s="1"/>
  <c r="Q116" i="19"/>
  <c r="T116" i="19" s="1"/>
  <c r="Q117" i="19"/>
  <c r="T117" i="19" s="1"/>
  <c r="Q118" i="19"/>
  <c r="T118" i="19" s="1"/>
  <c r="Q119" i="19"/>
  <c r="Q120" i="19"/>
  <c r="Q121" i="19"/>
  <c r="Q122" i="19"/>
  <c r="Q123" i="19"/>
  <c r="Q124" i="19"/>
  <c r="Q125" i="19"/>
  <c r="Q126" i="19"/>
  <c r="Q127" i="19"/>
  <c r="Q128" i="19"/>
  <c r="Q129" i="19"/>
  <c r="T129" i="19" s="1"/>
  <c r="Q130" i="19"/>
  <c r="T130" i="19" s="1"/>
  <c r="Q131" i="19"/>
  <c r="T131" i="19" s="1"/>
  <c r="Q132" i="19"/>
  <c r="T132" i="19" s="1"/>
  <c r="Q133" i="19"/>
  <c r="T133" i="19" s="1"/>
  <c r="Q134" i="19"/>
  <c r="T134" i="19" s="1"/>
  <c r="Q135" i="19"/>
  <c r="T135" i="19" s="1"/>
  <c r="F82" i="20"/>
  <c r="P59" i="19"/>
  <c r="P60" i="19"/>
  <c r="P68" i="19"/>
  <c r="P69" i="19"/>
  <c r="P77" i="19"/>
  <c r="P78" i="19"/>
  <c r="P79" i="19"/>
  <c r="P81" i="19"/>
  <c r="P89" i="19"/>
  <c r="P90" i="19"/>
  <c r="P98" i="19"/>
  <c r="P99" i="19"/>
  <c r="P107" i="19"/>
  <c r="V107" i="19" s="1"/>
  <c r="P109" i="19"/>
  <c r="P117" i="19"/>
  <c r="P118" i="19"/>
  <c r="P126" i="19"/>
  <c r="V126" i="19" s="1"/>
  <c r="P127" i="19"/>
  <c r="V127" i="19" s="1"/>
  <c r="P135" i="19"/>
  <c r="F99" i="20"/>
  <c r="V135" i="19" l="1"/>
  <c r="V99" i="19"/>
  <c r="V109" i="19"/>
  <c r="V90" i="19"/>
  <c r="V81" i="19"/>
  <c r="V117" i="19"/>
  <c r="V98" i="19"/>
  <c r="V89" i="19"/>
  <c r="V118" i="19"/>
  <c r="S80" i="19"/>
  <c r="T76" i="19"/>
  <c r="T74" i="19" l="1"/>
  <c r="T73" i="19"/>
  <c r="T72" i="19" l="1"/>
  <c r="T71" i="19"/>
  <c r="T69" i="19" l="1"/>
  <c r="T67" i="19" l="1"/>
  <c r="T68" i="19"/>
  <c r="T66" i="19" l="1"/>
  <c r="T65" i="19"/>
  <c r="T63" i="19" l="1"/>
  <c r="T64" i="19"/>
  <c r="T62" i="19" l="1"/>
  <c r="T60" i="19" l="1"/>
  <c r="T59" i="19"/>
  <c r="T57" i="19" l="1"/>
  <c r="T58" i="19"/>
  <c r="T56" i="19" l="1"/>
  <c r="T55" i="19"/>
  <c r="T53" i="19" l="1"/>
  <c r="T51" i="19"/>
  <c r="T54" i="19"/>
  <c r="S50" i="19" l="1"/>
  <c r="S136" i="19" s="1"/>
  <c r="E172" i="19" s="1"/>
  <c r="E54" i="11" l="1"/>
  <c r="D54" i="11" s="1"/>
  <c r="I76" i="11"/>
  <c r="D63" i="11"/>
  <c r="D45" i="11"/>
  <c r="L57" i="4"/>
  <c r="K56" i="4"/>
  <c r="K55" i="4"/>
  <c r="O60" i="4"/>
  <c r="J55" i="4"/>
  <c r="K46" i="4"/>
  <c r="J46" i="4"/>
  <c r="L46" i="4"/>
  <c r="O306" i="11"/>
  <c r="N306" i="11"/>
  <c r="O45" i="7"/>
  <c r="O51" i="7"/>
  <c r="K60" i="7"/>
  <c r="K62" i="7"/>
  <c r="J62" i="7"/>
  <c r="J61" i="7"/>
  <c r="J60" i="7"/>
  <c r="I59" i="7"/>
  <c r="I57" i="7"/>
  <c r="D55" i="11"/>
  <c r="D56" i="11"/>
  <c r="D57" i="11"/>
  <c r="D58" i="11"/>
  <c r="D59" i="11"/>
  <c r="D60" i="11"/>
  <c r="D61" i="11"/>
  <c r="D62" i="11"/>
  <c r="D64" i="11"/>
  <c r="D65" i="11"/>
  <c r="D66" i="11"/>
  <c r="D67" i="11"/>
  <c r="D68" i="11"/>
  <c r="D69" i="11"/>
  <c r="D47" i="11"/>
  <c r="D48" i="11"/>
  <c r="D49" i="11"/>
  <c r="D50" i="11"/>
  <c r="D51" i="11"/>
  <c r="D46" i="11"/>
  <c r="D33" i="11"/>
  <c r="D32" i="11"/>
  <c r="D22" i="11"/>
  <c r="D23" i="11"/>
  <c r="D24" i="11"/>
  <c r="D25" i="11"/>
  <c r="D26" i="11"/>
  <c r="D27" i="11"/>
  <c r="D28" i="11"/>
  <c r="D21" i="11"/>
  <c r="D13" i="11"/>
  <c r="D14" i="11"/>
  <c r="D15" i="11"/>
  <c r="D16" i="11"/>
  <c r="D17" i="11"/>
  <c r="D18" i="11"/>
  <c r="D12" i="11"/>
  <c r="L69" i="4"/>
  <c r="M69" i="4" s="1"/>
  <c r="S198" i="4"/>
  <c r="P198" i="4"/>
  <c r="P201" i="4" s="1"/>
  <c r="M68" i="4"/>
  <c r="L70" i="4"/>
  <c r="M70" i="4" s="1"/>
  <c r="K65" i="4"/>
  <c r="K66" i="4"/>
  <c r="J66" i="4"/>
  <c r="J65" i="4"/>
  <c r="S188" i="4"/>
  <c r="P60" i="4" s="1"/>
  <c r="P188" i="4"/>
  <c r="O51" i="4" s="1"/>
  <c r="D43" i="11" l="1"/>
  <c r="M64" i="4"/>
  <c r="K61" i="7"/>
  <c r="G100" i="11" l="1"/>
  <c r="J101" i="11"/>
  <c r="O58" i="4"/>
  <c r="N58" i="4"/>
  <c r="M58" i="4"/>
  <c r="M57" i="4"/>
  <c r="R51" i="4"/>
  <c r="N49" i="4"/>
  <c r="S186" i="4"/>
  <c r="P59" i="4" s="1"/>
  <c r="P183" i="4"/>
  <c r="P186" i="4"/>
  <c r="O50" i="4" s="1"/>
  <c r="M48" i="4"/>
  <c r="H55" i="4"/>
  <c r="H56" i="4" s="1"/>
  <c r="L55" i="4" l="1"/>
  <c r="P190" i="4"/>
  <c r="P192" i="4" s="1"/>
  <c r="S190" i="4"/>
  <c r="S192" i="4" s="1"/>
  <c r="R49" i="4"/>
  <c r="U192" i="4" l="1"/>
  <c r="N59" i="11"/>
  <c r="M59" i="11"/>
  <c r="L59" i="11"/>
  <c r="C153" i="4" l="1"/>
  <c r="C147" i="4"/>
  <c r="I17" i="11"/>
  <c r="K59" i="11"/>
  <c r="N57" i="11"/>
  <c r="M57" i="11"/>
  <c r="L57" i="11"/>
  <c r="K57" i="11"/>
  <c r="N55" i="11"/>
  <c r="M55" i="11"/>
  <c r="L55" i="11"/>
  <c r="K55" i="11"/>
  <c r="J57" i="11"/>
  <c r="J55" i="11"/>
  <c r="J115" i="11"/>
  <c r="I55" i="11" s="1"/>
  <c r="I115" i="11"/>
  <c r="H55" i="11" s="1"/>
  <c r="I59" i="11"/>
  <c r="I57" i="11"/>
  <c r="H59" i="11"/>
  <c r="H57" i="11"/>
  <c r="G59" i="11"/>
  <c r="G57" i="11"/>
  <c r="G55" i="11"/>
  <c r="F59" i="11"/>
  <c r="F57" i="11"/>
  <c r="G115" i="11"/>
  <c r="G120" i="11" s="1"/>
  <c r="H46" i="11"/>
  <c r="G46" i="11"/>
  <c r="F46" i="11"/>
  <c r="N120" i="11"/>
  <c r="M120" i="11"/>
  <c r="L120" i="11"/>
  <c r="K120" i="11"/>
  <c r="I120" i="11"/>
  <c r="H120" i="11"/>
  <c r="N111" i="11"/>
  <c r="M111" i="11"/>
  <c r="L111" i="11"/>
  <c r="J111" i="11"/>
  <c r="I111" i="11"/>
  <c r="H111" i="11"/>
  <c r="G111" i="11"/>
  <c r="N104" i="11"/>
  <c r="M104" i="11"/>
  <c r="L32" i="11" s="1"/>
  <c r="L104" i="11"/>
  <c r="K32" i="11" s="1"/>
  <c r="K104" i="11"/>
  <c r="J104" i="11"/>
  <c r="I104" i="11"/>
  <c r="H104" i="11"/>
  <c r="G32" i="11" s="1"/>
  <c r="G104" i="11"/>
  <c r="F32" i="11" s="1"/>
  <c r="K109" i="11"/>
  <c r="J59" i="11" s="1"/>
  <c r="J120" i="11" l="1"/>
  <c r="K111" i="11"/>
  <c r="J32" i="11" s="1"/>
  <c r="H32" i="11"/>
  <c r="F55" i="11"/>
  <c r="I32" i="11"/>
  <c r="C154" i="4"/>
  <c r="J56" i="4" l="1"/>
  <c r="C160" i="4"/>
  <c r="P50" i="11"/>
  <c r="O50" i="11"/>
  <c r="N50" i="11"/>
  <c r="M50" i="11"/>
  <c r="L50" i="11"/>
  <c r="K50" i="11"/>
  <c r="J50" i="11"/>
  <c r="P48" i="11"/>
  <c r="O48" i="11"/>
  <c r="N48" i="11"/>
  <c r="M48" i="11"/>
  <c r="L48" i="11"/>
  <c r="K48" i="11"/>
  <c r="P46" i="11"/>
  <c r="O46" i="11"/>
  <c r="N46" i="11"/>
  <c r="M46" i="11"/>
  <c r="L46" i="11"/>
  <c r="K46" i="11"/>
  <c r="J48" i="11"/>
  <c r="J46" i="11"/>
  <c r="I48" i="11"/>
  <c r="I46" i="11"/>
  <c r="R72" i="11"/>
  <c r="R71" i="11"/>
  <c r="R70" i="11"/>
  <c r="R69" i="11"/>
  <c r="R67" i="11"/>
  <c r="R65" i="11"/>
  <c r="M68" i="11"/>
  <c r="L68" i="11"/>
  <c r="K68" i="11"/>
  <c r="R68" i="11" s="1"/>
  <c r="J66" i="11"/>
  <c r="R66" i="11" s="1"/>
  <c r="M64" i="11"/>
  <c r="L64" i="11"/>
  <c r="K64" i="11"/>
  <c r="J64" i="11"/>
  <c r="R64" i="11" s="1"/>
  <c r="I64" i="11"/>
  <c r="H64" i="11"/>
  <c r="Q88" i="11"/>
  <c r="P88" i="11"/>
  <c r="O88" i="11"/>
  <c r="N25" i="11" s="1"/>
  <c r="N88" i="11"/>
  <c r="M25" i="11" s="1"/>
  <c r="M88" i="11"/>
  <c r="L25" i="11" s="1"/>
  <c r="L88" i="11"/>
  <c r="K25" i="11" s="1"/>
  <c r="K88" i="11"/>
  <c r="J88" i="11"/>
  <c r="I88" i="11"/>
  <c r="H88" i="11"/>
  <c r="G88" i="11"/>
  <c r="R96" i="11"/>
  <c r="Q96" i="11"/>
  <c r="P96" i="11"/>
  <c r="O96" i="11"/>
  <c r="N96" i="11"/>
  <c r="M96" i="11"/>
  <c r="L96" i="11"/>
  <c r="K96" i="11"/>
  <c r="J25" i="11" s="1"/>
  <c r="J96" i="11"/>
  <c r="I96" i="11"/>
  <c r="H96" i="11"/>
  <c r="G96" i="11"/>
  <c r="O25" i="11" l="1"/>
  <c r="H25" i="11"/>
  <c r="P25" i="11"/>
  <c r="I25" i="11"/>
  <c r="G25" i="11"/>
  <c r="F45" i="9"/>
  <c r="R50" i="9"/>
  <c r="P49" i="9"/>
  <c r="O49" i="9"/>
  <c r="N49" i="9"/>
  <c r="M49" i="9"/>
  <c r="N45" i="9"/>
  <c r="M45" i="9"/>
  <c r="L45" i="9"/>
  <c r="K45" i="9"/>
  <c r="J45" i="9"/>
  <c r="I45" i="9"/>
  <c r="H45" i="9"/>
  <c r="G45" i="9"/>
  <c r="P45" i="7" l="1"/>
  <c r="O33" i="7"/>
  <c r="N45" i="7"/>
  <c r="N33" i="7" s="1"/>
  <c r="M45" i="7"/>
  <c r="M33" i="7" s="1"/>
  <c r="L45" i="7"/>
  <c r="L33" i="7" s="1"/>
  <c r="K45" i="7"/>
  <c r="K33" i="7" s="1"/>
  <c r="G72" i="7" l="1"/>
  <c r="D5" i="20"/>
  <c r="D5" i="19"/>
  <c r="D5" i="21"/>
  <c r="D5" i="17"/>
  <c r="G98" i="20" l="1"/>
  <c r="G97" i="20"/>
  <c r="G90" i="20"/>
  <c r="G89" i="20"/>
  <c r="G60" i="20"/>
  <c r="G59" i="20"/>
  <c r="H107" i="20"/>
  <c r="H80" i="20"/>
  <c r="H200" i="20" s="1"/>
  <c r="H50" i="20"/>
  <c r="H134" i="20" l="1"/>
  <c r="H197" i="20" l="1"/>
  <c r="G148" i="20"/>
  <c r="D63" i="21"/>
  <c r="D41" i="21"/>
  <c r="G69" i="20" l="1"/>
  <c r="G68" i="20"/>
  <c r="D63" i="20"/>
  <c r="G63" i="20" s="1"/>
  <c r="H45" i="20"/>
  <c r="F45" i="20"/>
  <c r="D41" i="20"/>
  <c r="G69" i="19"/>
  <c r="G68" i="19"/>
  <c r="G60" i="19"/>
  <c r="G59" i="19"/>
  <c r="G99" i="19"/>
  <c r="G98" i="19"/>
  <c r="D63" i="19"/>
  <c r="D41" i="19"/>
  <c r="G63" i="19" l="1"/>
  <c r="P63" i="19"/>
  <c r="G45" i="19"/>
  <c r="F45" i="19"/>
  <c r="Q30" i="17"/>
  <c r="P30" i="17"/>
  <c r="O30" i="17"/>
  <c r="N30" i="17"/>
  <c r="M30" i="17"/>
  <c r="L30" i="17"/>
  <c r="J30" i="17"/>
  <c r="I30" i="17"/>
  <c r="H30" i="17"/>
  <c r="G30" i="17"/>
  <c r="F30" i="17"/>
  <c r="Q28" i="10"/>
  <c r="P28" i="10"/>
  <c r="O28" i="10"/>
  <c r="N28" i="10"/>
  <c r="M28" i="10"/>
  <c r="L28" i="10"/>
  <c r="J28" i="10"/>
  <c r="I28" i="10"/>
  <c r="H28" i="10"/>
  <c r="G28" i="10"/>
  <c r="F28" i="10"/>
  <c r="E13" i="7"/>
  <c r="E19" i="7" s="1"/>
  <c r="E36" i="14" l="1"/>
  <c r="E39" i="10"/>
  <c r="G17" i="11"/>
  <c r="R17" i="11" s="1"/>
  <c r="D5" i="10"/>
  <c r="L64" i="4"/>
  <c r="K30" i="17" l="1"/>
  <c r="K28" i="10"/>
  <c r="C28" i="18" l="1"/>
  <c r="C26" i="18"/>
  <c r="C22" i="18"/>
  <c r="K64" i="4"/>
  <c r="E69" i="11"/>
  <c r="E67" i="11"/>
  <c r="E66" i="11"/>
  <c r="E65" i="11"/>
  <c r="E60" i="11"/>
  <c r="E59" i="11"/>
  <c r="E58" i="11"/>
  <c r="E57" i="11"/>
  <c r="E56" i="11"/>
  <c r="E55" i="11"/>
  <c r="E51" i="11"/>
  <c r="E49" i="11"/>
  <c r="E28" i="11"/>
  <c r="E27" i="11"/>
  <c r="E26" i="11"/>
  <c r="E24" i="11"/>
  <c r="E23" i="11"/>
  <c r="E22" i="11"/>
  <c r="E17" i="11"/>
  <c r="E16" i="11"/>
  <c r="E15" i="11"/>
  <c r="E14" i="11"/>
  <c r="E13" i="11"/>
  <c r="E70" i="4"/>
  <c r="D70" i="4" s="1"/>
  <c r="E69" i="4"/>
  <c r="D69" i="4" s="1"/>
  <c r="E68" i="4"/>
  <c r="D68" i="4" s="1"/>
  <c r="E67" i="4"/>
  <c r="D67" i="4" s="1"/>
  <c r="E66" i="4"/>
  <c r="D66" i="4" s="1"/>
  <c r="E65" i="4"/>
  <c r="D65" i="4" s="1"/>
  <c r="E60" i="4"/>
  <c r="D60" i="4" s="1"/>
  <c r="E59" i="4"/>
  <c r="D59" i="4" s="1"/>
  <c r="E58" i="4"/>
  <c r="D58" i="4" s="1"/>
  <c r="E57" i="4"/>
  <c r="D57" i="4" s="1"/>
  <c r="E56" i="4"/>
  <c r="D56" i="4" s="1"/>
  <c r="E55" i="4"/>
  <c r="D55" i="4" s="1"/>
  <c r="E51" i="4"/>
  <c r="D51" i="4" s="1"/>
  <c r="E50" i="4"/>
  <c r="D50" i="4" s="1"/>
  <c r="E49" i="4"/>
  <c r="D49" i="4" s="1"/>
  <c r="E48" i="4"/>
  <c r="D48" i="4" s="1"/>
  <c r="E47" i="4"/>
  <c r="D47" i="4" s="1"/>
  <c r="E46" i="4"/>
  <c r="D46" i="4" s="1"/>
  <c r="E32" i="4"/>
  <c r="E28" i="4"/>
  <c r="D28" i="4" s="1"/>
  <c r="E27" i="4"/>
  <c r="D27" i="4" s="1"/>
  <c r="E26" i="4"/>
  <c r="D26" i="4" s="1"/>
  <c r="E25" i="4"/>
  <c r="D25" i="4" s="1"/>
  <c r="E24" i="4"/>
  <c r="D24" i="4" s="1"/>
  <c r="E23" i="4"/>
  <c r="D23" i="4" s="1"/>
  <c r="E22" i="4"/>
  <c r="D22" i="4" s="1"/>
  <c r="E21" i="4"/>
  <c r="D21" i="4" s="1"/>
  <c r="E17" i="4"/>
  <c r="D17" i="4" s="1"/>
  <c r="E16" i="4"/>
  <c r="D16" i="4" s="1"/>
  <c r="E15" i="4"/>
  <c r="D15" i="4" s="1"/>
  <c r="E14" i="4"/>
  <c r="D14" i="4" s="1"/>
  <c r="E13" i="4"/>
  <c r="D13" i="4" s="1"/>
  <c r="E33" i="9"/>
  <c r="E32" i="9"/>
  <c r="E28" i="9"/>
  <c r="E27" i="9"/>
  <c r="E26" i="9"/>
  <c r="E25" i="9"/>
  <c r="E23" i="9"/>
  <c r="E22" i="9"/>
  <c r="E21" i="9"/>
  <c r="E18" i="9"/>
  <c r="E17" i="9"/>
  <c r="E16" i="9"/>
  <c r="E15" i="9"/>
  <c r="E14" i="9"/>
  <c r="E13" i="9"/>
  <c r="E12" i="9"/>
  <c r="E47" i="9"/>
  <c r="D47" i="9" s="1"/>
  <c r="E46" i="9"/>
  <c r="E62" i="7"/>
  <c r="D62" i="7" s="1"/>
  <c r="E61" i="7"/>
  <c r="D61" i="7" s="1"/>
  <c r="E60" i="7"/>
  <c r="D60" i="7" s="1"/>
  <c r="E59" i="7"/>
  <c r="D59" i="7" s="1"/>
  <c r="E57" i="7"/>
  <c r="D57" i="7" s="1"/>
  <c r="E52" i="7"/>
  <c r="D52" i="7" s="1"/>
  <c r="E51" i="7"/>
  <c r="D51" i="7" s="1"/>
  <c r="E50" i="7"/>
  <c r="D50" i="7" s="1"/>
  <c r="E49" i="7"/>
  <c r="D49" i="7" s="1"/>
  <c r="E48" i="7"/>
  <c r="D48" i="7" s="1"/>
  <c r="E47" i="7"/>
  <c r="D47" i="7" s="1"/>
  <c r="D32" i="4" l="1"/>
  <c r="G81" i="4" s="1"/>
  <c r="C16" i="18" s="1"/>
  <c r="D112" i="21"/>
  <c r="D112" i="19"/>
  <c r="D111" i="20"/>
  <c r="D124" i="21"/>
  <c r="D124" i="19"/>
  <c r="P124" i="19" s="1"/>
  <c r="V124" i="19" s="1"/>
  <c r="D122" i="20"/>
  <c r="D85" i="21"/>
  <c r="D85" i="20"/>
  <c r="G85" i="20" s="1"/>
  <c r="D85" i="19"/>
  <c r="P85" i="19" s="1"/>
  <c r="V85" i="19" s="1"/>
  <c r="D20" i="21"/>
  <c r="D20" i="19"/>
  <c r="D20" i="20"/>
  <c r="E24" i="19"/>
  <c r="D113" i="21"/>
  <c r="D112" i="20"/>
  <c r="D113" i="19"/>
  <c r="D125" i="21"/>
  <c r="D123" i="20"/>
  <c r="D125" i="19"/>
  <c r="P125" i="19" s="1"/>
  <c r="V125" i="19" s="1"/>
  <c r="E102" i="10"/>
  <c r="D29" i="21"/>
  <c r="D29" i="19"/>
  <c r="D29" i="20"/>
  <c r="D34" i="21"/>
  <c r="D34" i="20"/>
  <c r="D34" i="19"/>
  <c r="D114" i="21"/>
  <c r="D113" i="20"/>
  <c r="D114" i="19"/>
  <c r="D122" i="21"/>
  <c r="D120" i="20"/>
  <c r="D122" i="19"/>
  <c r="P122" i="19" s="1"/>
  <c r="V122" i="19" s="1"/>
  <c r="E128" i="10"/>
  <c r="D46" i="9"/>
  <c r="D94" i="21"/>
  <c r="D93" i="20"/>
  <c r="G93" i="20" s="1"/>
  <c r="D94" i="19"/>
  <c r="E99" i="10"/>
  <c r="E103" i="10"/>
  <c r="D116" i="21"/>
  <c r="D116" i="19"/>
  <c r="D115" i="20"/>
  <c r="D92" i="21"/>
  <c r="D92" i="19"/>
  <c r="D91" i="20"/>
  <c r="E101" i="10"/>
  <c r="D33" i="21"/>
  <c r="D33" i="19"/>
  <c r="D33" i="20"/>
  <c r="D120" i="21"/>
  <c r="D118" i="20"/>
  <c r="D120" i="19"/>
  <c r="P120" i="19" s="1"/>
  <c r="V120" i="19" s="1"/>
  <c r="D28" i="21"/>
  <c r="D28" i="20"/>
  <c r="D28" i="19"/>
  <c r="D93" i="21"/>
  <c r="D92" i="20"/>
  <c r="G92" i="20" s="1"/>
  <c r="D93" i="19"/>
  <c r="D21" i="21"/>
  <c r="D21" i="20"/>
  <c r="D21" i="19"/>
  <c r="D111" i="21"/>
  <c r="D110" i="20"/>
  <c r="D111" i="19"/>
  <c r="D115" i="21"/>
  <c r="D114" i="20"/>
  <c r="D115" i="19"/>
  <c r="D123" i="21"/>
  <c r="D121" i="20"/>
  <c r="D123" i="19"/>
  <c r="P123" i="19" s="1"/>
  <c r="V123" i="19" s="1"/>
  <c r="D131" i="21"/>
  <c r="D129" i="20"/>
  <c r="D131" i="19"/>
  <c r="P131" i="19" s="1"/>
  <c r="V131" i="19" s="1"/>
  <c r="D84" i="21"/>
  <c r="D84" i="19"/>
  <c r="P84" i="19" s="1"/>
  <c r="V84" i="19" s="1"/>
  <c r="D84" i="20"/>
  <c r="G84" i="20" s="1"/>
  <c r="D88" i="21"/>
  <c r="D88" i="20"/>
  <c r="G88" i="20" s="1"/>
  <c r="D88" i="19"/>
  <c r="P88" i="19" s="1"/>
  <c r="V88" i="19" s="1"/>
  <c r="D95" i="21"/>
  <c r="D94" i="20"/>
  <c r="G94" i="20" s="1"/>
  <c r="D95" i="19"/>
  <c r="E100" i="10"/>
  <c r="E104" i="10"/>
  <c r="D22" i="21"/>
  <c r="M146" i="21" s="1"/>
  <c r="D22" i="20"/>
  <c r="D22" i="19"/>
  <c r="L146" i="19" s="1"/>
  <c r="D64" i="21"/>
  <c r="D64" i="20"/>
  <c r="G64" i="20" s="1"/>
  <c r="D64" i="19"/>
  <c r="D24" i="21"/>
  <c r="M147" i="21" s="1"/>
  <c r="D24" i="20"/>
  <c r="D24" i="19"/>
  <c r="L147" i="19" s="1"/>
  <c r="D30" i="21"/>
  <c r="M149" i="21" s="1"/>
  <c r="D30" i="20"/>
  <c r="D30" i="19"/>
  <c r="L149" i="19" s="1"/>
  <c r="D30" i="17"/>
  <c r="D28" i="10"/>
  <c r="D65" i="21"/>
  <c r="D65" i="20"/>
  <c r="G65" i="20" s="1"/>
  <c r="D65" i="19"/>
  <c r="D67" i="21"/>
  <c r="D67" i="19"/>
  <c r="D67" i="20"/>
  <c r="G67" i="20" s="1"/>
  <c r="D62" i="21"/>
  <c r="D62" i="20"/>
  <c r="G62" i="20" s="1"/>
  <c r="D62" i="19"/>
  <c r="E74" i="10"/>
  <c r="D56" i="21"/>
  <c r="D56" i="20"/>
  <c r="G56" i="20" s="1"/>
  <c r="D56" i="19"/>
  <c r="E71" i="10"/>
  <c r="E70" i="10"/>
  <c r="D58" i="21"/>
  <c r="D58" i="20"/>
  <c r="G58" i="20" s="1"/>
  <c r="D58" i="19"/>
  <c r="E72" i="10"/>
  <c r="E36" i="9"/>
  <c r="E19" i="9"/>
  <c r="E92" i="21"/>
  <c r="E92" i="19"/>
  <c r="E91" i="20"/>
  <c r="E92" i="17"/>
  <c r="E90" i="10"/>
  <c r="E22" i="10"/>
  <c r="E56" i="21"/>
  <c r="E56" i="20"/>
  <c r="E56" i="19"/>
  <c r="E56" i="17"/>
  <c r="E54" i="10"/>
  <c r="E111" i="21"/>
  <c r="E110" i="20"/>
  <c r="E111" i="19"/>
  <c r="E111" i="17"/>
  <c r="E109" i="10"/>
  <c r="E122" i="21"/>
  <c r="E122" i="19"/>
  <c r="E120" i="20"/>
  <c r="E122" i="17"/>
  <c r="E120" i="10"/>
  <c r="E93" i="21"/>
  <c r="E92" i="20"/>
  <c r="E93" i="19"/>
  <c r="E93" i="17"/>
  <c r="E91" i="10"/>
  <c r="E29" i="21"/>
  <c r="E29" i="19"/>
  <c r="E29" i="20"/>
  <c r="E29" i="17"/>
  <c r="E27" i="10"/>
  <c r="E58" i="21"/>
  <c r="E58" i="19"/>
  <c r="E58" i="20"/>
  <c r="E58" i="17"/>
  <c r="E56" i="10"/>
  <c r="E112" i="21"/>
  <c r="E112" i="19"/>
  <c r="E111" i="20"/>
  <c r="E112" i="17"/>
  <c r="E110" i="10"/>
  <c r="E94" i="21"/>
  <c r="E93" i="20"/>
  <c r="E94" i="19"/>
  <c r="E94" i="17"/>
  <c r="E92" i="10"/>
  <c r="E63" i="21"/>
  <c r="E63" i="20"/>
  <c r="E63" i="19"/>
  <c r="E63" i="17"/>
  <c r="E61" i="10"/>
  <c r="E114" i="21"/>
  <c r="E113" i="20"/>
  <c r="E114" i="19"/>
  <c r="E114" i="17"/>
  <c r="E61" i="14"/>
  <c r="E112" i="10"/>
  <c r="E125" i="21"/>
  <c r="E123" i="20"/>
  <c r="E125" i="19"/>
  <c r="E125" i="17"/>
  <c r="E123" i="10"/>
  <c r="E85" i="21"/>
  <c r="E85" i="20"/>
  <c r="E85" i="19"/>
  <c r="E85" i="17"/>
  <c r="E54" i="14"/>
  <c r="E83" i="10"/>
  <c r="E96" i="21"/>
  <c r="E96" i="19"/>
  <c r="E95" i="20"/>
  <c r="E96" i="17"/>
  <c r="E94" i="10"/>
  <c r="E15" i="14"/>
  <c r="E18" i="10"/>
  <c r="E64" i="21"/>
  <c r="E64" i="20"/>
  <c r="E64" i="19"/>
  <c r="E64" i="17"/>
  <c r="E62" i="10"/>
  <c r="E120" i="21"/>
  <c r="E120" i="19"/>
  <c r="E118" i="20"/>
  <c r="E120" i="17"/>
  <c r="E118" i="10"/>
  <c r="E88" i="21"/>
  <c r="E88" i="19"/>
  <c r="E88" i="20"/>
  <c r="E88" i="17"/>
  <c r="E86" i="10"/>
  <c r="E23" i="21"/>
  <c r="E23" i="20"/>
  <c r="E23" i="19"/>
  <c r="E23" i="17"/>
  <c r="E18" i="14"/>
  <c r="E21" i="10"/>
  <c r="E67" i="21"/>
  <c r="E67" i="20"/>
  <c r="E67" i="19"/>
  <c r="E67" i="17"/>
  <c r="E65" i="10"/>
  <c r="E129" i="10"/>
  <c r="E66" i="14"/>
  <c r="E28" i="21"/>
  <c r="E28" i="19"/>
  <c r="E28" i="20"/>
  <c r="E28" i="17"/>
  <c r="E26" i="10"/>
  <c r="E123" i="21"/>
  <c r="E123" i="19"/>
  <c r="E121" i="20"/>
  <c r="E123" i="17"/>
  <c r="E121" i="10"/>
  <c r="E28" i="10"/>
  <c r="E30" i="21"/>
  <c r="E30" i="19"/>
  <c r="E30" i="20"/>
  <c r="E30" i="17"/>
  <c r="E25" i="14"/>
  <c r="E62" i="21"/>
  <c r="E62" i="20"/>
  <c r="E62" i="19"/>
  <c r="E62" i="17"/>
  <c r="E60" i="10"/>
  <c r="E113" i="21"/>
  <c r="E113" i="19"/>
  <c r="E112" i="20"/>
  <c r="E113" i="17"/>
  <c r="E60" i="14"/>
  <c r="E111" i="10"/>
  <c r="E124" i="21"/>
  <c r="E124" i="19"/>
  <c r="E122" i="20"/>
  <c r="E124" i="17"/>
  <c r="E122" i="10"/>
  <c r="E84" i="21"/>
  <c r="E84" i="20"/>
  <c r="E84" i="19"/>
  <c r="E84" i="17"/>
  <c r="E82" i="10"/>
  <c r="E95" i="21"/>
  <c r="E94" i="20"/>
  <c r="E95" i="19"/>
  <c r="E95" i="17"/>
  <c r="E93" i="10"/>
  <c r="E115" i="21"/>
  <c r="E115" i="19"/>
  <c r="E114" i="20"/>
  <c r="E115" i="17"/>
  <c r="E113" i="10"/>
  <c r="E86" i="21"/>
  <c r="E86" i="20"/>
  <c r="E86" i="19"/>
  <c r="E86" i="17"/>
  <c r="E55" i="14"/>
  <c r="E84" i="10"/>
  <c r="E97" i="21"/>
  <c r="E96" i="20"/>
  <c r="E97" i="19"/>
  <c r="E97" i="17"/>
  <c r="E95" i="10"/>
  <c r="E16" i="14"/>
  <c r="E19" i="10"/>
  <c r="E33" i="21"/>
  <c r="E33" i="19"/>
  <c r="E33" i="20"/>
  <c r="E33" i="17"/>
  <c r="E28" i="14"/>
  <c r="E65" i="21"/>
  <c r="E65" i="19"/>
  <c r="E65" i="20"/>
  <c r="E65" i="17"/>
  <c r="E63" i="10"/>
  <c r="E83" i="21"/>
  <c r="E83" i="19"/>
  <c r="E83" i="20"/>
  <c r="K83" i="20" s="1"/>
  <c r="E83" i="17"/>
  <c r="E81" i="10"/>
  <c r="E53" i="14"/>
  <c r="E116" i="21"/>
  <c r="E116" i="19"/>
  <c r="E115" i="20"/>
  <c r="E116" i="17"/>
  <c r="E114" i="10"/>
  <c r="E87" i="21"/>
  <c r="E87" i="20"/>
  <c r="E87" i="19"/>
  <c r="E87" i="17"/>
  <c r="E85" i="10"/>
  <c r="E17" i="14"/>
  <c r="E20" i="10"/>
  <c r="E34" i="21"/>
  <c r="E34" i="19"/>
  <c r="E34" i="20"/>
  <c r="E34" i="17"/>
  <c r="E32" i="10"/>
  <c r="E29" i="14"/>
  <c r="E66" i="21"/>
  <c r="E66" i="19"/>
  <c r="E66" i="20"/>
  <c r="E66" i="17"/>
  <c r="E64" i="10"/>
  <c r="E31" i="10"/>
  <c r="J45" i="4"/>
  <c r="Q25" i="14"/>
  <c r="P25" i="14"/>
  <c r="O25" i="14"/>
  <c r="N25" i="14"/>
  <c r="M25" i="14"/>
  <c r="L25" i="14"/>
  <c r="K25" i="14"/>
  <c r="J25" i="14"/>
  <c r="I25" i="14"/>
  <c r="H25" i="14"/>
  <c r="G25" i="14"/>
  <c r="F25" i="14"/>
  <c r="D25" i="14"/>
  <c r="J45" i="7"/>
  <c r="J33" i="7" s="1"/>
  <c r="I45" i="7"/>
  <c r="I33" i="7" s="1"/>
  <c r="H45" i="7"/>
  <c r="G45" i="7"/>
  <c r="D45" i="7"/>
  <c r="E159" i="20" l="1"/>
  <c r="G91" i="20"/>
  <c r="K91" i="20"/>
  <c r="E160" i="20" s="1"/>
  <c r="J24" i="20"/>
  <c r="M144" i="20"/>
  <c r="M146" i="20"/>
  <c r="H141" i="20" s="1"/>
  <c r="H142" i="20" s="1"/>
  <c r="J30" i="20"/>
  <c r="G65" i="19"/>
  <c r="P65" i="19"/>
  <c r="G94" i="19"/>
  <c r="P94" i="19"/>
  <c r="V94" i="19" s="1"/>
  <c r="P114" i="19"/>
  <c r="V114" i="19" s="1"/>
  <c r="G58" i="19"/>
  <c r="P58" i="19"/>
  <c r="G92" i="19"/>
  <c r="P92" i="19"/>
  <c r="V92" i="19" s="1"/>
  <c r="G67" i="19"/>
  <c r="P67" i="19"/>
  <c r="G62" i="19"/>
  <c r="P62" i="19"/>
  <c r="P115" i="19"/>
  <c r="V115" i="19" s="1"/>
  <c r="G56" i="19"/>
  <c r="P56" i="19"/>
  <c r="G64" i="19"/>
  <c r="P64" i="19"/>
  <c r="G95" i="19"/>
  <c r="P95" i="19"/>
  <c r="V95" i="19" s="1"/>
  <c r="G93" i="19"/>
  <c r="P93" i="19"/>
  <c r="V93" i="19" s="1"/>
  <c r="P112" i="19"/>
  <c r="V112" i="19" s="1"/>
  <c r="P116" i="19"/>
  <c r="V116" i="19" s="1"/>
  <c r="P111" i="19"/>
  <c r="V111" i="19" s="1"/>
  <c r="P113" i="19"/>
  <c r="V113" i="19" s="1"/>
  <c r="D106" i="21"/>
  <c r="D105" i="20"/>
  <c r="D106" i="19"/>
  <c r="P106" i="19" s="1"/>
  <c r="V106" i="19" s="1"/>
  <c r="D103" i="21"/>
  <c r="D102" i="20"/>
  <c r="D103" i="19"/>
  <c r="P103" i="19" s="1"/>
  <c r="V103" i="19" s="1"/>
  <c r="D130" i="21"/>
  <c r="D128" i="20"/>
  <c r="D130" i="19"/>
  <c r="P130" i="19" s="1"/>
  <c r="V130" i="19" s="1"/>
  <c r="E51" i="14"/>
  <c r="D73" i="21"/>
  <c r="D73" i="20"/>
  <c r="D73" i="19"/>
  <c r="P73" i="19" s="1"/>
  <c r="D74" i="21"/>
  <c r="D74" i="19"/>
  <c r="P74" i="19" s="1"/>
  <c r="D74" i="20"/>
  <c r="D76" i="21"/>
  <c r="D76" i="19"/>
  <c r="P76" i="19" s="1"/>
  <c r="D76" i="20"/>
  <c r="D72" i="21"/>
  <c r="D72" i="20"/>
  <c r="D72" i="19"/>
  <c r="P72" i="19" s="1"/>
  <c r="E33" i="7"/>
  <c r="F80" i="20"/>
  <c r="F200" i="20" s="1"/>
  <c r="D110" i="19"/>
  <c r="R25" i="14"/>
  <c r="K82" i="20" l="1"/>
  <c r="E158" i="20"/>
  <c r="P110" i="19"/>
  <c r="E36" i="7"/>
  <c r="D33" i="7"/>
  <c r="G110" i="21"/>
  <c r="G108" i="21" s="1"/>
  <c r="J55" i="7"/>
  <c r="J28" i="7" s="1"/>
  <c r="I55" i="7"/>
  <c r="I28" i="7" s="1"/>
  <c r="G55" i="7"/>
  <c r="G28" i="7" s="1"/>
  <c r="F55" i="7" l="1"/>
  <c r="F45" i="7"/>
  <c r="E45" i="7" s="1"/>
  <c r="E110" i="21" l="1"/>
  <c r="E110" i="19"/>
  <c r="E110" i="17"/>
  <c r="E108" i="10"/>
  <c r="F66" i="7"/>
  <c r="R135" i="17"/>
  <c r="Q134" i="17"/>
  <c r="P134" i="17"/>
  <c r="O134" i="17"/>
  <c r="N134" i="17"/>
  <c r="L134" i="17"/>
  <c r="K134" i="17"/>
  <c r="J134" i="17"/>
  <c r="I134" i="17"/>
  <c r="H134" i="17"/>
  <c r="G134" i="17"/>
  <c r="F134" i="17"/>
  <c r="Q133" i="17"/>
  <c r="P133" i="17"/>
  <c r="O133" i="17"/>
  <c r="N133" i="17"/>
  <c r="L133" i="17"/>
  <c r="K133" i="17"/>
  <c r="J133" i="17"/>
  <c r="I133" i="17"/>
  <c r="H133" i="17"/>
  <c r="G133" i="17"/>
  <c r="F133" i="17"/>
  <c r="Q132" i="17"/>
  <c r="P132" i="17"/>
  <c r="O132" i="17"/>
  <c r="N132" i="17"/>
  <c r="L132" i="17"/>
  <c r="K132" i="17"/>
  <c r="J132" i="17"/>
  <c r="I132" i="17"/>
  <c r="H132" i="17"/>
  <c r="G132" i="17"/>
  <c r="F132" i="17"/>
  <c r="Q131" i="17"/>
  <c r="P131" i="17"/>
  <c r="O131" i="17"/>
  <c r="N131" i="17"/>
  <c r="M131" i="17"/>
  <c r="L131" i="17"/>
  <c r="K131" i="17"/>
  <c r="J131" i="17"/>
  <c r="I131" i="17"/>
  <c r="H131" i="17"/>
  <c r="G131" i="17"/>
  <c r="F131" i="17"/>
  <c r="D131" i="17"/>
  <c r="Q130" i="17"/>
  <c r="P130" i="17"/>
  <c r="O130" i="17"/>
  <c r="N130" i="17"/>
  <c r="M130" i="17"/>
  <c r="L130" i="17"/>
  <c r="K130" i="17"/>
  <c r="J130" i="17"/>
  <c r="I130" i="17"/>
  <c r="H130" i="17"/>
  <c r="G130" i="17"/>
  <c r="F130" i="17"/>
  <c r="D130" i="17"/>
  <c r="Q129" i="17"/>
  <c r="P129" i="17"/>
  <c r="O129" i="17"/>
  <c r="N129" i="17"/>
  <c r="M129" i="17"/>
  <c r="L129" i="17"/>
  <c r="K129" i="17"/>
  <c r="J129" i="17"/>
  <c r="I129" i="17"/>
  <c r="H129" i="17"/>
  <c r="G129" i="17"/>
  <c r="R127" i="17"/>
  <c r="Q126" i="17"/>
  <c r="P126" i="17"/>
  <c r="O126" i="17"/>
  <c r="N126" i="17"/>
  <c r="M126" i="17"/>
  <c r="L126" i="17"/>
  <c r="K126" i="17"/>
  <c r="J126" i="17"/>
  <c r="I126" i="17"/>
  <c r="H126" i="17"/>
  <c r="G126" i="17"/>
  <c r="Q125" i="17"/>
  <c r="P125" i="17"/>
  <c r="O125" i="17"/>
  <c r="N125" i="17"/>
  <c r="M125" i="17"/>
  <c r="L125" i="17"/>
  <c r="K125" i="17"/>
  <c r="J125" i="17"/>
  <c r="I125" i="17"/>
  <c r="H125" i="17"/>
  <c r="G125" i="17"/>
  <c r="F125" i="17"/>
  <c r="D125" i="17"/>
  <c r="Q124" i="17"/>
  <c r="P124" i="17"/>
  <c r="O124" i="17"/>
  <c r="N124" i="17"/>
  <c r="M124" i="17"/>
  <c r="L124" i="17"/>
  <c r="K124" i="17"/>
  <c r="J124" i="17"/>
  <c r="I124" i="17"/>
  <c r="H124" i="17"/>
  <c r="G124" i="17"/>
  <c r="F124" i="17"/>
  <c r="D124" i="17"/>
  <c r="Q123" i="17"/>
  <c r="P123" i="17"/>
  <c r="O123" i="17"/>
  <c r="N123" i="17"/>
  <c r="M123" i="17"/>
  <c r="L123" i="17"/>
  <c r="K123" i="17"/>
  <c r="J123" i="17"/>
  <c r="I123" i="17"/>
  <c r="H123" i="17"/>
  <c r="G123" i="17"/>
  <c r="F123" i="17"/>
  <c r="Q122" i="17"/>
  <c r="P122" i="17"/>
  <c r="O122" i="17"/>
  <c r="N122" i="17"/>
  <c r="M122" i="17"/>
  <c r="L122" i="17"/>
  <c r="K122" i="17"/>
  <c r="J122" i="17"/>
  <c r="I122" i="17"/>
  <c r="H122" i="17"/>
  <c r="G122" i="17"/>
  <c r="F122" i="17"/>
  <c r="D122" i="17"/>
  <c r="Q121" i="17"/>
  <c r="P121" i="17"/>
  <c r="O121" i="17"/>
  <c r="N121" i="17"/>
  <c r="M121" i="17"/>
  <c r="L121" i="17"/>
  <c r="K121" i="17"/>
  <c r="J121" i="17"/>
  <c r="I121" i="17"/>
  <c r="G121" i="17"/>
  <c r="F121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F119" i="17"/>
  <c r="R118" i="17"/>
  <c r="Q117" i="17"/>
  <c r="P117" i="17"/>
  <c r="O117" i="17"/>
  <c r="N117" i="17"/>
  <c r="M117" i="17"/>
  <c r="L117" i="17"/>
  <c r="K117" i="17"/>
  <c r="J117" i="17"/>
  <c r="I117" i="17"/>
  <c r="H117" i="17"/>
  <c r="G117" i="17"/>
  <c r="Q116" i="17"/>
  <c r="P116" i="17"/>
  <c r="O116" i="17"/>
  <c r="N116" i="17"/>
  <c r="M116" i="17"/>
  <c r="L116" i="17"/>
  <c r="K116" i="17"/>
  <c r="J116" i="17"/>
  <c r="I116" i="17"/>
  <c r="H116" i="17"/>
  <c r="G116" i="17"/>
  <c r="F116" i="17"/>
  <c r="D116" i="17"/>
  <c r="Q115" i="17"/>
  <c r="P115" i="17"/>
  <c r="O115" i="17"/>
  <c r="N115" i="17"/>
  <c r="M115" i="17"/>
  <c r="L115" i="17"/>
  <c r="K115" i="17"/>
  <c r="J115" i="17"/>
  <c r="I115" i="17"/>
  <c r="H115" i="17"/>
  <c r="G115" i="17"/>
  <c r="F115" i="17"/>
  <c r="D115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D114" i="17"/>
  <c r="Q113" i="17"/>
  <c r="P113" i="17"/>
  <c r="O113" i="17"/>
  <c r="N113" i="17"/>
  <c r="M113" i="17"/>
  <c r="L113" i="17"/>
  <c r="K113" i="17"/>
  <c r="J113" i="17"/>
  <c r="I113" i="17"/>
  <c r="H113" i="17"/>
  <c r="G113" i="17"/>
  <c r="F113" i="17"/>
  <c r="D113" i="17"/>
  <c r="Q112" i="17"/>
  <c r="P112" i="17"/>
  <c r="O112" i="17"/>
  <c r="N112" i="17"/>
  <c r="M112" i="17"/>
  <c r="L112" i="17"/>
  <c r="K112" i="17"/>
  <c r="J112" i="17"/>
  <c r="I112" i="17"/>
  <c r="H112" i="17"/>
  <c r="G112" i="17"/>
  <c r="F112" i="17"/>
  <c r="D112" i="17"/>
  <c r="Q111" i="17"/>
  <c r="P111" i="17"/>
  <c r="O111" i="17"/>
  <c r="N111" i="17"/>
  <c r="M111" i="17"/>
  <c r="L111" i="17"/>
  <c r="K111" i="17"/>
  <c r="J111" i="17"/>
  <c r="I111" i="17"/>
  <c r="H111" i="17"/>
  <c r="G111" i="17"/>
  <c r="F111" i="17"/>
  <c r="D111" i="17"/>
  <c r="F110" i="17"/>
  <c r="R109" i="17"/>
  <c r="R107" i="17"/>
  <c r="Q106" i="17"/>
  <c r="P106" i="17"/>
  <c r="O106" i="17"/>
  <c r="N106" i="17"/>
  <c r="M106" i="17"/>
  <c r="L106" i="17"/>
  <c r="K106" i="17"/>
  <c r="J106" i="17"/>
  <c r="I106" i="17"/>
  <c r="H106" i="17"/>
  <c r="G106" i="17"/>
  <c r="F106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Q104" i="17"/>
  <c r="P104" i="17"/>
  <c r="O104" i="17"/>
  <c r="N104" i="17"/>
  <c r="M104" i="17"/>
  <c r="L104" i="17"/>
  <c r="K104" i="17"/>
  <c r="J104" i="17"/>
  <c r="I104" i="17"/>
  <c r="H104" i="17"/>
  <c r="G104" i="17"/>
  <c r="F104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D103" i="17"/>
  <c r="Q102" i="17"/>
  <c r="P102" i="17"/>
  <c r="O102" i="17"/>
  <c r="N102" i="17"/>
  <c r="M102" i="17"/>
  <c r="L102" i="17"/>
  <c r="K102" i="17"/>
  <c r="J102" i="17"/>
  <c r="I102" i="17"/>
  <c r="H102" i="17"/>
  <c r="G102" i="17"/>
  <c r="F102" i="17"/>
  <c r="Q101" i="17"/>
  <c r="P101" i="17"/>
  <c r="O101" i="17"/>
  <c r="N101" i="17"/>
  <c r="M101" i="17"/>
  <c r="L101" i="17"/>
  <c r="K101" i="17"/>
  <c r="J101" i="17"/>
  <c r="I101" i="17"/>
  <c r="H101" i="17"/>
  <c r="G101" i="17"/>
  <c r="F101" i="17"/>
  <c r="Q100" i="17"/>
  <c r="P100" i="17"/>
  <c r="O100" i="17"/>
  <c r="N100" i="17"/>
  <c r="M100" i="17"/>
  <c r="L100" i="17"/>
  <c r="K100" i="17"/>
  <c r="R99" i="17"/>
  <c r="Q98" i="17"/>
  <c r="P98" i="17"/>
  <c r="O98" i="17"/>
  <c r="N98" i="17"/>
  <c r="M98" i="17"/>
  <c r="L98" i="17"/>
  <c r="K98" i="17"/>
  <c r="J98" i="17"/>
  <c r="I98" i="17"/>
  <c r="H98" i="17"/>
  <c r="G98" i="17"/>
  <c r="Q97" i="17"/>
  <c r="P97" i="17"/>
  <c r="O97" i="17"/>
  <c r="N97" i="17"/>
  <c r="M97" i="17"/>
  <c r="L97" i="17"/>
  <c r="K97" i="17"/>
  <c r="J97" i="17"/>
  <c r="I97" i="17"/>
  <c r="H97" i="17"/>
  <c r="G97" i="17"/>
  <c r="F97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Q95" i="17"/>
  <c r="P95" i="17"/>
  <c r="O95" i="17"/>
  <c r="N95" i="17"/>
  <c r="M95" i="17"/>
  <c r="L95" i="17"/>
  <c r="K95" i="17"/>
  <c r="J95" i="17"/>
  <c r="I95" i="17"/>
  <c r="H95" i="17"/>
  <c r="G95" i="17"/>
  <c r="F95" i="17"/>
  <c r="D95" i="17"/>
  <c r="Q94" i="17"/>
  <c r="P94" i="17"/>
  <c r="O94" i="17"/>
  <c r="N94" i="17"/>
  <c r="M94" i="17"/>
  <c r="L94" i="17"/>
  <c r="K94" i="17"/>
  <c r="J94" i="17"/>
  <c r="I94" i="17"/>
  <c r="H94" i="17"/>
  <c r="G94" i="17"/>
  <c r="F94" i="17"/>
  <c r="D94" i="17"/>
  <c r="Q93" i="17"/>
  <c r="P93" i="17"/>
  <c r="O93" i="17"/>
  <c r="N93" i="17"/>
  <c r="M93" i="17"/>
  <c r="L93" i="17"/>
  <c r="K93" i="17"/>
  <c r="J93" i="17"/>
  <c r="I93" i="17"/>
  <c r="H93" i="17"/>
  <c r="G93" i="17"/>
  <c r="F93" i="17"/>
  <c r="D93" i="17"/>
  <c r="Q92" i="17"/>
  <c r="P92" i="17"/>
  <c r="O92" i="17"/>
  <c r="N92" i="17"/>
  <c r="M92" i="17"/>
  <c r="L92" i="17"/>
  <c r="K92" i="17"/>
  <c r="J92" i="17"/>
  <c r="I92" i="17"/>
  <c r="H92" i="17"/>
  <c r="G92" i="17"/>
  <c r="F92" i="17"/>
  <c r="D92" i="17"/>
  <c r="R90" i="17"/>
  <c r="Q89" i="17"/>
  <c r="P89" i="17"/>
  <c r="O89" i="17"/>
  <c r="N89" i="17"/>
  <c r="M89" i="17"/>
  <c r="L89" i="17"/>
  <c r="K89" i="17"/>
  <c r="J89" i="17"/>
  <c r="I89" i="17"/>
  <c r="H89" i="17"/>
  <c r="G89" i="17"/>
  <c r="Q88" i="17"/>
  <c r="P88" i="17"/>
  <c r="O88" i="17"/>
  <c r="N88" i="17"/>
  <c r="M88" i="17"/>
  <c r="L88" i="17"/>
  <c r="K88" i="17"/>
  <c r="J88" i="17"/>
  <c r="I88" i="17"/>
  <c r="H88" i="17"/>
  <c r="G88" i="17"/>
  <c r="F88" i="17"/>
  <c r="D88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Q86" i="17"/>
  <c r="P86" i="17"/>
  <c r="O86" i="17"/>
  <c r="N86" i="17"/>
  <c r="M86" i="17"/>
  <c r="L86" i="17"/>
  <c r="K86" i="17"/>
  <c r="J86" i="17"/>
  <c r="I86" i="17"/>
  <c r="H86" i="17"/>
  <c r="G86" i="17"/>
  <c r="F86" i="17"/>
  <c r="Q85" i="17"/>
  <c r="P85" i="17"/>
  <c r="O85" i="17"/>
  <c r="N85" i="17"/>
  <c r="M85" i="17"/>
  <c r="L85" i="17"/>
  <c r="K85" i="17"/>
  <c r="J85" i="17"/>
  <c r="I85" i="17"/>
  <c r="H85" i="17"/>
  <c r="G85" i="17"/>
  <c r="F85" i="17"/>
  <c r="D85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D84" i="17"/>
  <c r="Q83" i="17"/>
  <c r="P83" i="17"/>
  <c r="O83" i="17"/>
  <c r="N83" i="17"/>
  <c r="M83" i="17"/>
  <c r="L83" i="17"/>
  <c r="K83" i="17"/>
  <c r="J83" i="17"/>
  <c r="I83" i="17"/>
  <c r="H83" i="17"/>
  <c r="G83" i="17"/>
  <c r="F83" i="17"/>
  <c r="R81" i="17"/>
  <c r="R78" i="17"/>
  <c r="Q77" i="17"/>
  <c r="P77" i="17"/>
  <c r="O77" i="17"/>
  <c r="N77" i="17"/>
  <c r="M77" i="17"/>
  <c r="L77" i="17"/>
  <c r="K77" i="17"/>
  <c r="J77" i="17"/>
  <c r="I77" i="17"/>
  <c r="H77" i="17"/>
  <c r="G77" i="17"/>
  <c r="Q76" i="17"/>
  <c r="P76" i="17"/>
  <c r="O76" i="17"/>
  <c r="N76" i="17"/>
  <c r="M76" i="17"/>
  <c r="L76" i="17"/>
  <c r="K76" i="17"/>
  <c r="J76" i="17"/>
  <c r="I76" i="17"/>
  <c r="H76" i="17"/>
  <c r="G76" i="17"/>
  <c r="F76" i="17"/>
  <c r="D76" i="17"/>
  <c r="Q75" i="17"/>
  <c r="P75" i="17"/>
  <c r="O75" i="17"/>
  <c r="N75" i="17"/>
  <c r="M75" i="17"/>
  <c r="I75" i="17"/>
  <c r="H75" i="17"/>
  <c r="G75" i="17"/>
  <c r="F75" i="17"/>
  <c r="Q74" i="17"/>
  <c r="P74" i="17"/>
  <c r="O74" i="17"/>
  <c r="N74" i="17"/>
  <c r="M74" i="17"/>
  <c r="L74" i="17"/>
  <c r="K74" i="17"/>
  <c r="J74" i="17"/>
  <c r="I74" i="17"/>
  <c r="H74" i="17"/>
  <c r="G74" i="17"/>
  <c r="F74" i="17"/>
  <c r="Q73" i="17"/>
  <c r="P73" i="17"/>
  <c r="O73" i="17"/>
  <c r="N73" i="17"/>
  <c r="M73" i="17"/>
  <c r="L73" i="17"/>
  <c r="K73" i="17"/>
  <c r="J73" i="17"/>
  <c r="I73" i="17"/>
  <c r="H73" i="17"/>
  <c r="G73" i="17"/>
  <c r="F73" i="17"/>
  <c r="D73" i="17"/>
  <c r="Q72" i="17"/>
  <c r="P72" i="17"/>
  <c r="O72" i="17"/>
  <c r="N72" i="17"/>
  <c r="M72" i="17"/>
  <c r="L72" i="17"/>
  <c r="K72" i="17"/>
  <c r="J72" i="17"/>
  <c r="I72" i="17"/>
  <c r="H72" i="17"/>
  <c r="G72" i="17"/>
  <c r="F72" i="17"/>
  <c r="D72" i="17"/>
  <c r="Q71" i="17"/>
  <c r="P71" i="17"/>
  <c r="O71" i="17"/>
  <c r="N71" i="17"/>
  <c r="M71" i="17"/>
  <c r="L71" i="17"/>
  <c r="K71" i="17"/>
  <c r="J71" i="17"/>
  <c r="I71" i="17"/>
  <c r="G71" i="17"/>
  <c r="F71" i="17"/>
  <c r="R69" i="17"/>
  <c r="Q68" i="17"/>
  <c r="P68" i="17"/>
  <c r="O68" i="17"/>
  <c r="N68" i="17"/>
  <c r="M68" i="17"/>
  <c r="L68" i="17"/>
  <c r="K68" i="17"/>
  <c r="J68" i="17"/>
  <c r="I68" i="17"/>
  <c r="H68" i="17"/>
  <c r="G68" i="17"/>
  <c r="Q67" i="17"/>
  <c r="P67" i="17"/>
  <c r="O67" i="17"/>
  <c r="N67" i="17"/>
  <c r="M67" i="17"/>
  <c r="L67" i="17"/>
  <c r="K67" i="17"/>
  <c r="J67" i="17"/>
  <c r="I67" i="17"/>
  <c r="H67" i="17"/>
  <c r="G67" i="17"/>
  <c r="F67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D64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D63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R60" i="17"/>
  <c r="Q59" i="17"/>
  <c r="P59" i="17"/>
  <c r="O59" i="17"/>
  <c r="N59" i="17"/>
  <c r="M59" i="17"/>
  <c r="L59" i="17"/>
  <c r="K59" i="17"/>
  <c r="J59" i="17"/>
  <c r="I59" i="17"/>
  <c r="H59" i="17"/>
  <c r="G59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D58" i="17"/>
  <c r="K57" i="17"/>
  <c r="J57" i="17"/>
  <c r="I57" i="17"/>
  <c r="H57" i="17"/>
  <c r="G57" i="17"/>
  <c r="F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D56" i="17"/>
  <c r="Q55" i="17"/>
  <c r="P55" i="17"/>
  <c r="O55" i="17"/>
  <c r="N55" i="17"/>
  <c r="I55" i="17"/>
  <c r="H55" i="17"/>
  <c r="G55" i="17"/>
  <c r="F55" i="17"/>
  <c r="Q54" i="17"/>
  <c r="P54" i="17"/>
  <c r="O54" i="17"/>
  <c r="N54" i="17"/>
  <c r="M54" i="17"/>
  <c r="L54" i="17"/>
  <c r="J54" i="17"/>
  <c r="I54" i="17"/>
  <c r="H54" i="17"/>
  <c r="G54" i="17"/>
  <c r="F54" i="17"/>
  <c r="Q53" i="17"/>
  <c r="P53" i="17"/>
  <c r="G53" i="17"/>
  <c r="R51" i="17"/>
  <c r="R49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D41" i="17"/>
  <c r="Q40" i="17"/>
  <c r="J40" i="17"/>
  <c r="I40" i="17"/>
  <c r="H40" i="17"/>
  <c r="G40" i="17"/>
  <c r="F40" i="17"/>
  <c r="Q39" i="17"/>
  <c r="P39" i="17"/>
  <c r="O39" i="17"/>
  <c r="N39" i="17"/>
  <c r="M39" i="17"/>
  <c r="L39" i="17"/>
  <c r="K39" i="17"/>
  <c r="J39" i="17"/>
  <c r="I39" i="17"/>
  <c r="H39" i="17"/>
  <c r="G39" i="17"/>
  <c r="Q35" i="17"/>
  <c r="P35" i="17"/>
  <c r="O35" i="17"/>
  <c r="N35" i="17"/>
  <c r="M35" i="17"/>
  <c r="L35" i="17"/>
  <c r="J35" i="17"/>
  <c r="I35" i="17"/>
  <c r="G35" i="17"/>
  <c r="F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D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D33" i="17"/>
  <c r="Q32" i="17"/>
  <c r="P32" i="17"/>
  <c r="O32" i="17"/>
  <c r="N32" i="17"/>
  <c r="M32" i="17"/>
  <c r="L32" i="17"/>
  <c r="K32" i="17"/>
  <c r="J32" i="17"/>
  <c r="I32" i="17"/>
  <c r="H32" i="17"/>
  <c r="G32" i="17"/>
  <c r="F31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D29" i="17"/>
  <c r="Q28" i="17"/>
  <c r="P28" i="17"/>
  <c r="O28" i="17"/>
  <c r="N28" i="17"/>
  <c r="M28" i="17"/>
  <c r="J28" i="17"/>
  <c r="I28" i="17"/>
  <c r="H28" i="17"/>
  <c r="G28" i="17"/>
  <c r="F28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D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D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D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D20" i="17"/>
  <c r="Q19" i="17"/>
  <c r="G47" i="14"/>
  <c r="R75" i="14"/>
  <c r="R71" i="14"/>
  <c r="Q70" i="14"/>
  <c r="Q67" i="14"/>
  <c r="P67" i="14"/>
  <c r="O67" i="14"/>
  <c r="N67" i="14"/>
  <c r="L67" i="14"/>
  <c r="K67" i="14"/>
  <c r="J67" i="14"/>
  <c r="I67" i="14"/>
  <c r="H67" i="14"/>
  <c r="G67" i="14"/>
  <c r="F67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Q65" i="14"/>
  <c r="P65" i="14"/>
  <c r="O65" i="14"/>
  <c r="N65" i="14"/>
  <c r="M65" i="14"/>
  <c r="L65" i="14"/>
  <c r="L63" i="14" s="1"/>
  <c r="K65" i="14"/>
  <c r="J65" i="14"/>
  <c r="I65" i="14"/>
  <c r="H65" i="14"/>
  <c r="H63" i="14" s="1"/>
  <c r="G65" i="14"/>
  <c r="D66" i="14"/>
  <c r="Q61" i="14"/>
  <c r="P61" i="14"/>
  <c r="O61" i="14"/>
  <c r="N61" i="14"/>
  <c r="M61" i="14"/>
  <c r="L61" i="14"/>
  <c r="K61" i="14"/>
  <c r="J61" i="14"/>
  <c r="I61" i="14"/>
  <c r="H61" i="14"/>
  <c r="G61" i="14"/>
  <c r="Q60" i="14"/>
  <c r="P60" i="14"/>
  <c r="O60" i="14"/>
  <c r="N60" i="14"/>
  <c r="M60" i="14"/>
  <c r="L60" i="14"/>
  <c r="K60" i="14"/>
  <c r="J60" i="14"/>
  <c r="I60" i="14"/>
  <c r="H60" i="14"/>
  <c r="G60" i="14"/>
  <c r="Q59" i="14"/>
  <c r="P59" i="14"/>
  <c r="O59" i="14"/>
  <c r="N59" i="14"/>
  <c r="M59" i="14"/>
  <c r="L59" i="14"/>
  <c r="K59" i="14"/>
  <c r="J59" i="14"/>
  <c r="I59" i="14"/>
  <c r="G59" i="14"/>
  <c r="F61" i="14"/>
  <c r="F60" i="14"/>
  <c r="F59" i="14"/>
  <c r="D60" i="14"/>
  <c r="Q55" i="14"/>
  <c r="N55" i="14"/>
  <c r="M55" i="14"/>
  <c r="L55" i="14"/>
  <c r="K55" i="14"/>
  <c r="J55" i="14"/>
  <c r="I55" i="14"/>
  <c r="H55" i="14"/>
  <c r="G55" i="14"/>
  <c r="Q54" i="14"/>
  <c r="P54" i="14"/>
  <c r="O54" i="14"/>
  <c r="N54" i="14"/>
  <c r="L54" i="14"/>
  <c r="K54" i="14"/>
  <c r="J54" i="14"/>
  <c r="I54" i="14"/>
  <c r="H54" i="14"/>
  <c r="G54" i="14"/>
  <c r="Q53" i="14"/>
  <c r="P53" i="14"/>
  <c r="O53" i="14"/>
  <c r="N53" i="14"/>
  <c r="M53" i="14"/>
  <c r="L53" i="14"/>
  <c r="J53" i="14"/>
  <c r="I53" i="14"/>
  <c r="H53" i="14"/>
  <c r="G53" i="14"/>
  <c r="I49" i="14"/>
  <c r="H49" i="14"/>
  <c r="G49" i="14"/>
  <c r="Q48" i="14"/>
  <c r="P48" i="14"/>
  <c r="O48" i="14"/>
  <c r="N48" i="14"/>
  <c r="I48" i="14"/>
  <c r="H48" i="14"/>
  <c r="G48" i="14"/>
  <c r="Q47" i="14"/>
  <c r="P47" i="14"/>
  <c r="F55" i="14"/>
  <c r="F54" i="14"/>
  <c r="F53" i="14"/>
  <c r="D54" i="14"/>
  <c r="F45" i="11"/>
  <c r="F49" i="14"/>
  <c r="F48" i="14"/>
  <c r="F47" i="14"/>
  <c r="F64" i="4"/>
  <c r="F54" i="4"/>
  <c r="F45" i="4"/>
  <c r="E45" i="9"/>
  <c r="D45" i="9" s="1"/>
  <c r="R69" i="14"/>
  <c r="R62" i="14"/>
  <c r="R58" i="14"/>
  <c r="R56" i="14"/>
  <c r="R52" i="14"/>
  <c r="R50" i="14"/>
  <c r="R46" i="14"/>
  <c r="R44" i="14"/>
  <c r="R39" i="14"/>
  <c r="R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D36" i="14"/>
  <c r="Q35" i="14"/>
  <c r="J35" i="14"/>
  <c r="I35" i="14"/>
  <c r="H35" i="14"/>
  <c r="G35" i="14"/>
  <c r="F35" i="14"/>
  <c r="Q34" i="14"/>
  <c r="P34" i="14"/>
  <c r="O34" i="14"/>
  <c r="N34" i="14"/>
  <c r="M34" i="14"/>
  <c r="L34" i="14"/>
  <c r="K34" i="14"/>
  <c r="J34" i="14"/>
  <c r="I34" i="14"/>
  <c r="H34" i="14"/>
  <c r="G34" i="14"/>
  <c r="R33" i="14"/>
  <c r="R31" i="14"/>
  <c r="Q30" i="14"/>
  <c r="P30" i="14"/>
  <c r="O30" i="14"/>
  <c r="N30" i="14"/>
  <c r="M30" i="14"/>
  <c r="L30" i="14"/>
  <c r="J30" i="14"/>
  <c r="I30" i="14"/>
  <c r="G30" i="14"/>
  <c r="F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D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D28" i="14"/>
  <c r="Q27" i="14"/>
  <c r="P27" i="14"/>
  <c r="O27" i="14"/>
  <c r="N27" i="14"/>
  <c r="M27" i="14"/>
  <c r="L27" i="14"/>
  <c r="K27" i="14"/>
  <c r="J27" i="14"/>
  <c r="I27" i="14"/>
  <c r="H27" i="14"/>
  <c r="G27" i="14"/>
  <c r="F26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D24" i="14"/>
  <c r="Q23" i="14"/>
  <c r="P23" i="14"/>
  <c r="O23" i="14"/>
  <c r="N23" i="14"/>
  <c r="M23" i="14"/>
  <c r="J23" i="14"/>
  <c r="I23" i="14"/>
  <c r="H23" i="14"/>
  <c r="G23" i="14"/>
  <c r="F23" i="14"/>
  <c r="R22" i="14"/>
  <c r="R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D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D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D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D15" i="14"/>
  <c r="Q14" i="14"/>
  <c r="R47" i="9"/>
  <c r="K63" i="14" l="1"/>
  <c r="D129" i="21"/>
  <c r="D129" i="19"/>
  <c r="P129" i="19" s="1"/>
  <c r="V129" i="19" s="1"/>
  <c r="D127" i="20"/>
  <c r="P63" i="14"/>
  <c r="N63" i="14"/>
  <c r="G63" i="14"/>
  <c r="O63" i="14"/>
  <c r="E65" i="14"/>
  <c r="E127" i="10"/>
  <c r="R74" i="17"/>
  <c r="F65" i="14"/>
  <c r="F72" i="14" s="1"/>
  <c r="I63" i="14"/>
  <c r="R65" i="17"/>
  <c r="J43" i="17"/>
  <c r="J38" i="14"/>
  <c r="R96" i="17"/>
  <c r="R87" i="17"/>
  <c r="R56" i="17"/>
  <c r="R64" i="17"/>
  <c r="R83" i="17"/>
  <c r="R92" i="17"/>
  <c r="R86" i="17"/>
  <c r="R113" i="17"/>
  <c r="R116" i="17"/>
  <c r="R120" i="17"/>
  <c r="R124" i="17"/>
  <c r="F91" i="17"/>
  <c r="G73" i="14"/>
  <c r="O73" i="14"/>
  <c r="F100" i="17"/>
  <c r="F82" i="17"/>
  <c r="D129" i="17"/>
  <c r="F52" i="17"/>
  <c r="H110" i="17"/>
  <c r="F129" i="17"/>
  <c r="F53" i="17"/>
  <c r="D65" i="14"/>
  <c r="I110" i="17"/>
  <c r="R59" i="17"/>
  <c r="R68" i="17"/>
  <c r="R73" i="17"/>
  <c r="R77" i="17"/>
  <c r="R89" i="17"/>
  <c r="R95" i="17"/>
  <c r="R103" i="17"/>
  <c r="R104" i="17"/>
  <c r="R112" i="17"/>
  <c r="R123" i="17"/>
  <c r="R58" i="17"/>
  <c r="R62" i="17"/>
  <c r="R63" i="17"/>
  <c r="R66" i="17"/>
  <c r="R67" i="17"/>
  <c r="R72" i="17"/>
  <c r="R76" i="17"/>
  <c r="R85" i="17"/>
  <c r="R88" i="17"/>
  <c r="R94" i="17"/>
  <c r="R98" i="17"/>
  <c r="R111" i="17"/>
  <c r="R115" i="17"/>
  <c r="R126" i="17"/>
  <c r="R93" i="17"/>
  <c r="R97" i="17"/>
  <c r="R102" i="17"/>
  <c r="R105" i="17"/>
  <c r="R106" i="17"/>
  <c r="R117" i="17"/>
  <c r="R125" i="17"/>
  <c r="R129" i="17"/>
  <c r="R130" i="17"/>
  <c r="I38" i="14"/>
  <c r="H43" i="17"/>
  <c r="R122" i="17"/>
  <c r="F108" i="17"/>
  <c r="F57" i="14"/>
  <c r="G43" i="17"/>
  <c r="I43" i="17"/>
  <c r="Q43" i="17"/>
  <c r="R84" i="17"/>
  <c r="R101" i="17"/>
  <c r="R114" i="17"/>
  <c r="R131" i="17"/>
  <c r="Q63" i="14"/>
  <c r="F51" i="14"/>
  <c r="N73" i="14"/>
  <c r="G74" i="14"/>
  <c r="I73" i="14"/>
  <c r="F73" i="14"/>
  <c r="H74" i="14"/>
  <c r="F74" i="14"/>
  <c r="H73" i="14"/>
  <c r="P73" i="14"/>
  <c r="I74" i="14"/>
  <c r="J51" i="14"/>
  <c r="N51" i="14"/>
  <c r="G51" i="14"/>
  <c r="O51" i="14"/>
  <c r="G57" i="14"/>
  <c r="K57" i="14"/>
  <c r="O57" i="14"/>
  <c r="J57" i="14"/>
  <c r="N57" i="14"/>
  <c r="P72" i="14"/>
  <c r="G45" i="14"/>
  <c r="G72" i="14"/>
  <c r="J63" i="14"/>
  <c r="F45" i="14"/>
  <c r="L57" i="14"/>
  <c r="P57" i="14"/>
  <c r="H51" i="14"/>
  <c r="L51" i="14"/>
  <c r="P51" i="14"/>
  <c r="I51" i="14"/>
  <c r="Q51" i="14"/>
  <c r="I57" i="14"/>
  <c r="M57" i="14"/>
  <c r="Q57" i="14"/>
  <c r="R54" i="14"/>
  <c r="R60" i="14"/>
  <c r="R66" i="14"/>
  <c r="R68" i="14"/>
  <c r="R64" i="14"/>
  <c r="R65" i="14"/>
  <c r="R61" i="14"/>
  <c r="R19" i="14"/>
  <c r="Q38" i="14"/>
  <c r="R15" i="14"/>
  <c r="R36" i="14"/>
  <c r="R55" i="14"/>
  <c r="Q21" i="14"/>
  <c r="R16" i="14"/>
  <c r="R27" i="14"/>
  <c r="R17" i="14"/>
  <c r="R28" i="14"/>
  <c r="G38" i="14"/>
  <c r="R18" i="14"/>
  <c r="R24" i="14"/>
  <c r="R29" i="14"/>
  <c r="H38" i="14"/>
  <c r="R34" i="14"/>
  <c r="F63" i="14" l="1"/>
  <c r="F80" i="17"/>
  <c r="F70" i="14"/>
  <c r="G70" i="14"/>
  <c r="F63" i="11" l="1"/>
  <c r="F54" i="11"/>
  <c r="R42" i="10"/>
  <c r="R40" i="10"/>
  <c r="R36" i="10"/>
  <c r="R34" i="10"/>
  <c r="R25" i="10"/>
  <c r="R23" i="10"/>
  <c r="Q39" i="10"/>
  <c r="P39" i="10"/>
  <c r="O39" i="10"/>
  <c r="N39" i="10"/>
  <c r="M39" i="10"/>
  <c r="L39" i="10"/>
  <c r="K39" i="10"/>
  <c r="J39" i="10"/>
  <c r="I39" i="10"/>
  <c r="H39" i="10"/>
  <c r="G39" i="10"/>
  <c r="Q38" i="10"/>
  <c r="J38" i="10"/>
  <c r="I38" i="10"/>
  <c r="H38" i="10"/>
  <c r="G38" i="10"/>
  <c r="Q37" i="10"/>
  <c r="P37" i="10"/>
  <c r="O37" i="10"/>
  <c r="N37" i="10"/>
  <c r="M37" i="10"/>
  <c r="L37" i="10"/>
  <c r="K37" i="10"/>
  <c r="J37" i="10"/>
  <c r="I37" i="10"/>
  <c r="H37" i="10"/>
  <c r="G37" i="10"/>
  <c r="F39" i="10"/>
  <c r="F38" i="10"/>
  <c r="D39" i="10"/>
  <c r="Q33" i="10"/>
  <c r="P33" i="10"/>
  <c r="O33" i="10"/>
  <c r="N33" i="10"/>
  <c r="M33" i="10"/>
  <c r="L33" i="10"/>
  <c r="J33" i="10"/>
  <c r="I33" i="10"/>
  <c r="G33" i="10"/>
  <c r="Q32" i="10"/>
  <c r="P32" i="10"/>
  <c r="O32" i="10"/>
  <c r="N32" i="10"/>
  <c r="M32" i="10"/>
  <c r="L32" i="10"/>
  <c r="K32" i="10"/>
  <c r="J32" i="10"/>
  <c r="I32" i="10"/>
  <c r="H32" i="10"/>
  <c r="G32" i="10"/>
  <c r="Q31" i="10"/>
  <c r="P31" i="10"/>
  <c r="O31" i="10"/>
  <c r="N31" i="10"/>
  <c r="M31" i="10"/>
  <c r="L31" i="10"/>
  <c r="K31" i="10"/>
  <c r="J31" i="10"/>
  <c r="I31" i="10"/>
  <c r="H31" i="10"/>
  <c r="G31" i="10"/>
  <c r="Q30" i="10"/>
  <c r="P30" i="10"/>
  <c r="O30" i="10"/>
  <c r="N30" i="10"/>
  <c r="M30" i="10"/>
  <c r="L30" i="10"/>
  <c r="K30" i="10"/>
  <c r="J30" i="10"/>
  <c r="I30" i="10"/>
  <c r="H30" i="10"/>
  <c r="G30" i="10"/>
  <c r="Q27" i="10"/>
  <c r="P27" i="10"/>
  <c r="O27" i="10"/>
  <c r="N27" i="10"/>
  <c r="M27" i="10"/>
  <c r="L27" i="10"/>
  <c r="K27" i="10"/>
  <c r="J27" i="10"/>
  <c r="I27" i="10"/>
  <c r="H27" i="10"/>
  <c r="G27" i="10"/>
  <c r="Q26" i="10"/>
  <c r="P26" i="10"/>
  <c r="O26" i="10"/>
  <c r="N26" i="10"/>
  <c r="M26" i="10"/>
  <c r="J26" i="10"/>
  <c r="I26" i="10"/>
  <c r="H26" i="10"/>
  <c r="G26" i="10"/>
  <c r="F33" i="10"/>
  <c r="F32" i="10"/>
  <c r="F31" i="10"/>
  <c r="F29" i="10"/>
  <c r="F27" i="10"/>
  <c r="F26" i="10"/>
  <c r="D32" i="10"/>
  <c r="D31" i="10"/>
  <c r="D27" i="10"/>
  <c r="Q22" i="10"/>
  <c r="P22" i="10"/>
  <c r="O22" i="10"/>
  <c r="N22" i="10"/>
  <c r="M22" i="10"/>
  <c r="L22" i="10"/>
  <c r="K22" i="10"/>
  <c r="J22" i="10"/>
  <c r="I22" i="10"/>
  <c r="H22" i="10"/>
  <c r="G22" i="10"/>
  <c r="Q21" i="10"/>
  <c r="P21" i="10"/>
  <c r="O21" i="10"/>
  <c r="N21" i="10"/>
  <c r="M21" i="10"/>
  <c r="L21" i="10"/>
  <c r="K21" i="10"/>
  <c r="J21" i="10"/>
  <c r="I21" i="10"/>
  <c r="H21" i="10"/>
  <c r="G21" i="10"/>
  <c r="Q20" i="10"/>
  <c r="P20" i="10"/>
  <c r="O20" i="10"/>
  <c r="N20" i="10"/>
  <c r="M20" i="10"/>
  <c r="L20" i="10"/>
  <c r="K20" i="10"/>
  <c r="J20" i="10"/>
  <c r="I20" i="10"/>
  <c r="H20" i="10"/>
  <c r="G20" i="10"/>
  <c r="Q19" i="10"/>
  <c r="P19" i="10"/>
  <c r="O19" i="10"/>
  <c r="N19" i="10"/>
  <c r="M19" i="10"/>
  <c r="L19" i="10"/>
  <c r="K19" i="10"/>
  <c r="J19" i="10"/>
  <c r="I19" i="10"/>
  <c r="H19" i="10"/>
  <c r="G19" i="10"/>
  <c r="Q18" i="10"/>
  <c r="P18" i="10"/>
  <c r="O18" i="10"/>
  <c r="N18" i="10"/>
  <c r="M18" i="10"/>
  <c r="L18" i="10"/>
  <c r="K18" i="10"/>
  <c r="J18" i="10"/>
  <c r="I18" i="10"/>
  <c r="H18" i="10"/>
  <c r="G18" i="10"/>
  <c r="Q17" i="10"/>
  <c r="F22" i="10"/>
  <c r="F21" i="10"/>
  <c r="F20" i="10"/>
  <c r="F19" i="10"/>
  <c r="F18" i="10"/>
  <c r="D22" i="10"/>
  <c r="D20" i="10"/>
  <c r="D19" i="10"/>
  <c r="D18" i="10"/>
  <c r="Q104" i="10"/>
  <c r="P104" i="10"/>
  <c r="O104" i="10"/>
  <c r="N104" i="10"/>
  <c r="M104" i="10"/>
  <c r="L104" i="10"/>
  <c r="K104" i="10"/>
  <c r="J104" i="10"/>
  <c r="I104" i="10"/>
  <c r="H104" i="10"/>
  <c r="G104" i="10"/>
  <c r="Q103" i="10"/>
  <c r="P103" i="10"/>
  <c r="O103" i="10"/>
  <c r="N103" i="10"/>
  <c r="M103" i="10"/>
  <c r="L103" i="10"/>
  <c r="K103" i="10"/>
  <c r="J103" i="10"/>
  <c r="I103" i="10"/>
  <c r="H103" i="10"/>
  <c r="G103" i="10"/>
  <c r="Q102" i="10"/>
  <c r="P102" i="10"/>
  <c r="O102" i="10"/>
  <c r="N102" i="10"/>
  <c r="M102" i="10"/>
  <c r="L102" i="10"/>
  <c r="K102" i="10"/>
  <c r="J102" i="10"/>
  <c r="I102" i="10"/>
  <c r="H102" i="10"/>
  <c r="G102" i="10"/>
  <c r="Q101" i="10"/>
  <c r="P101" i="10"/>
  <c r="O101" i="10"/>
  <c r="N101" i="10"/>
  <c r="M101" i="10"/>
  <c r="L101" i="10"/>
  <c r="K101" i="10"/>
  <c r="J101" i="10"/>
  <c r="I101" i="10"/>
  <c r="H101" i="10"/>
  <c r="G101" i="10"/>
  <c r="Q100" i="10"/>
  <c r="P100" i="10"/>
  <c r="O100" i="10"/>
  <c r="N100" i="10"/>
  <c r="M100" i="10"/>
  <c r="L100" i="10"/>
  <c r="K100" i="10"/>
  <c r="J100" i="10"/>
  <c r="I100" i="10"/>
  <c r="H100" i="10"/>
  <c r="G100" i="10"/>
  <c r="Q99" i="10"/>
  <c r="P99" i="10"/>
  <c r="O99" i="10"/>
  <c r="N99" i="10"/>
  <c r="M99" i="10"/>
  <c r="L99" i="10"/>
  <c r="K99" i="10"/>
  <c r="J99" i="10"/>
  <c r="I99" i="10"/>
  <c r="H99" i="10"/>
  <c r="G99" i="10"/>
  <c r="Q98" i="10"/>
  <c r="P98" i="10"/>
  <c r="O98" i="10"/>
  <c r="N98" i="10"/>
  <c r="M98" i="10"/>
  <c r="L98" i="10"/>
  <c r="K98" i="10"/>
  <c r="F104" i="10"/>
  <c r="F103" i="10"/>
  <c r="F102" i="10"/>
  <c r="F101" i="10"/>
  <c r="F100" i="10"/>
  <c r="F99" i="10"/>
  <c r="F98" i="10"/>
  <c r="D101" i="10"/>
  <c r="E64" i="11"/>
  <c r="Q63" i="11"/>
  <c r="P63" i="11"/>
  <c r="O63" i="11"/>
  <c r="N63" i="11"/>
  <c r="M63" i="11"/>
  <c r="I63" i="11"/>
  <c r="Q36" i="11"/>
  <c r="P36" i="11"/>
  <c r="O36" i="11"/>
  <c r="N36" i="11"/>
  <c r="M36" i="11"/>
  <c r="K36" i="11"/>
  <c r="J36" i="11"/>
  <c r="I36" i="11"/>
  <c r="H36" i="11"/>
  <c r="G36" i="11"/>
  <c r="Q30" i="11"/>
  <c r="P30" i="11"/>
  <c r="O30" i="11"/>
  <c r="N30" i="11"/>
  <c r="M30" i="11"/>
  <c r="J30" i="11"/>
  <c r="I30" i="11"/>
  <c r="H30" i="11"/>
  <c r="G30" i="11"/>
  <c r="Q19" i="11"/>
  <c r="P19" i="11"/>
  <c r="O19" i="11"/>
  <c r="N19" i="11"/>
  <c r="M19" i="11"/>
  <c r="L19" i="11"/>
  <c r="K19" i="11"/>
  <c r="J64" i="4"/>
  <c r="F100" i="19" s="1"/>
  <c r="E149" i="19" s="1"/>
  <c r="Q19" i="4"/>
  <c r="G19" i="4"/>
  <c r="Q30" i="4"/>
  <c r="P30" i="4"/>
  <c r="O30" i="4"/>
  <c r="N30" i="4"/>
  <c r="M30" i="4"/>
  <c r="L30" i="4"/>
  <c r="K30" i="4"/>
  <c r="J30" i="4"/>
  <c r="I30" i="4"/>
  <c r="H30" i="4"/>
  <c r="G30" i="4"/>
  <c r="Q36" i="4"/>
  <c r="J36" i="4"/>
  <c r="I36" i="4"/>
  <c r="H36" i="4"/>
  <c r="G36" i="4"/>
  <c r="Q54" i="4"/>
  <c r="P54" i="4"/>
  <c r="O54" i="4"/>
  <c r="N54" i="4"/>
  <c r="M54" i="4"/>
  <c r="L54" i="4"/>
  <c r="K54" i="4"/>
  <c r="J54" i="4"/>
  <c r="I54" i="4"/>
  <c r="H54" i="4"/>
  <c r="G54" i="4"/>
  <c r="R74" i="4"/>
  <c r="R73" i="4"/>
  <c r="R72" i="4"/>
  <c r="R71" i="4"/>
  <c r="R70" i="4"/>
  <c r="R69" i="4"/>
  <c r="R68" i="4"/>
  <c r="R67" i="4"/>
  <c r="R66" i="4"/>
  <c r="R65" i="4"/>
  <c r="R63" i="4"/>
  <c r="R62" i="4"/>
  <c r="R61" i="4"/>
  <c r="F75" i="4"/>
  <c r="I64" i="4"/>
  <c r="H64" i="4"/>
  <c r="G64" i="4"/>
  <c r="G98" i="10" s="1"/>
  <c r="Q19" i="7"/>
  <c r="P19" i="7"/>
  <c r="O19" i="7"/>
  <c r="N19" i="7"/>
  <c r="M19" i="7"/>
  <c r="L19" i="7"/>
  <c r="K19" i="7"/>
  <c r="J19" i="7"/>
  <c r="I19" i="7"/>
  <c r="H19" i="7"/>
  <c r="G19" i="7"/>
  <c r="Q30" i="7"/>
  <c r="P30" i="7"/>
  <c r="O30" i="7"/>
  <c r="N30" i="7"/>
  <c r="M30" i="7"/>
  <c r="L30" i="7"/>
  <c r="J30" i="7"/>
  <c r="I30" i="7"/>
  <c r="G30" i="7"/>
  <c r="Q36" i="7"/>
  <c r="P36" i="7"/>
  <c r="O36" i="7"/>
  <c r="N36" i="7"/>
  <c r="M36" i="7"/>
  <c r="L36" i="7"/>
  <c r="K36" i="7"/>
  <c r="J36" i="7"/>
  <c r="I36" i="7"/>
  <c r="H36" i="7"/>
  <c r="G36" i="7"/>
  <c r="H90" i="10"/>
  <c r="I90" i="10"/>
  <c r="Q100" i="19" l="1"/>
  <c r="T100" i="19" s="1"/>
  <c r="S70" i="4"/>
  <c r="E69" i="10"/>
  <c r="D99" i="10"/>
  <c r="D101" i="21"/>
  <c r="D101" i="19"/>
  <c r="P101" i="19" s="1"/>
  <c r="V101" i="19" s="1"/>
  <c r="D100" i="20"/>
  <c r="Q38" i="4"/>
  <c r="D102" i="21"/>
  <c r="D102" i="19"/>
  <c r="P102" i="19" s="1"/>
  <c r="V102" i="19" s="1"/>
  <c r="D101" i="20"/>
  <c r="D104" i="21"/>
  <c r="D104" i="19"/>
  <c r="P104" i="19" s="1"/>
  <c r="V104" i="19" s="1"/>
  <c r="D103" i="20"/>
  <c r="E33" i="11"/>
  <c r="E48" i="11"/>
  <c r="E54" i="4"/>
  <c r="D54" i="4" s="1"/>
  <c r="E64" i="4"/>
  <c r="M91" i="17"/>
  <c r="O70" i="17"/>
  <c r="J55" i="17"/>
  <c r="J48" i="14"/>
  <c r="J73" i="14" s="1"/>
  <c r="I38" i="7"/>
  <c r="M38" i="7"/>
  <c r="Q38" i="7"/>
  <c r="H100" i="17"/>
  <c r="D104" i="17"/>
  <c r="J91" i="17"/>
  <c r="N91" i="17"/>
  <c r="I70" i="17"/>
  <c r="P70" i="17"/>
  <c r="M53" i="17"/>
  <c r="M47" i="14"/>
  <c r="J53" i="17"/>
  <c r="J47" i="14"/>
  <c r="I53" i="17"/>
  <c r="I47" i="14"/>
  <c r="H53" i="17"/>
  <c r="H47" i="14"/>
  <c r="N57" i="17"/>
  <c r="N49" i="14"/>
  <c r="N74" i="14" s="1"/>
  <c r="I91" i="17"/>
  <c r="Q91" i="17"/>
  <c r="L53" i="17"/>
  <c r="L47" i="14"/>
  <c r="K55" i="17"/>
  <c r="K48" i="14"/>
  <c r="K73" i="14" s="1"/>
  <c r="I100" i="17"/>
  <c r="D106" i="17"/>
  <c r="G91" i="17"/>
  <c r="K91" i="17"/>
  <c r="O91" i="17"/>
  <c r="G38" i="4"/>
  <c r="J100" i="17"/>
  <c r="M70" i="17"/>
  <c r="Q70" i="17"/>
  <c r="N53" i="17"/>
  <c r="N47" i="14"/>
  <c r="J75" i="17"/>
  <c r="J49" i="14"/>
  <c r="J74" i="14" s="1"/>
  <c r="L55" i="17"/>
  <c r="L48" i="14"/>
  <c r="L73" i="14" s="1"/>
  <c r="Q57" i="17"/>
  <c r="Q49" i="14"/>
  <c r="Q45" i="14" s="1"/>
  <c r="M57" i="17"/>
  <c r="M49" i="14"/>
  <c r="F61" i="17"/>
  <c r="G100" i="17"/>
  <c r="D102" i="17"/>
  <c r="H71" i="17"/>
  <c r="R71" i="17" s="1"/>
  <c r="P57" i="17"/>
  <c r="P49" i="14"/>
  <c r="D101" i="17"/>
  <c r="H91" i="17"/>
  <c r="L91" i="17"/>
  <c r="P91" i="17"/>
  <c r="N70" i="17"/>
  <c r="D74" i="17"/>
  <c r="O53" i="17"/>
  <c r="O47" i="14"/>
  <c r="K75" i="17"/>
  <c r="K49" i="14"/>
  <c r="K74" i="14" s="1"/>
  <c r="M55" i="17"/>
  <c r="M48" i="14"/>
  <c r="M73" i="14" s="1"/>
  <c r="O57" i="17"/>
  <c r="O49" i="14"/>
  <c r="O74" i="14" s="1"/>
  <c r="D100" i="10"/>
  <c r="F70" i="17"/>
  <c r="I98" i="10"/>
  <c r="J98" i="10"/>
  <c r="D104" i="10"/>
  <c r="H98" i="10"/>
  <c r="D102" i="10"/>
  <c r="K63" i="11"/>
  <c r="P38" i="11"/>
  <c r="J63" i="11"/>
  <c r="N38" i="11"/>
  <c r="H63" i="11"/>
  <c r="Q38" i="11"/>
  <c r="O38" i="11"/>
  <c r="G63" i="11"/>
  <c r="L36" i="11"/>
  <c r="L38" i="7"/>
  <c r="P38" i="7"/>
  <c r="J38" i="7"/>
  <c r="Q41" i="10"/>
  <c r="O38" i="7"/>
  <c r="G38" i="7"/>
  <c r="I41" i="10"/>
  <c r="R31" i="10"/>
  <c r="R37" i="10"/>
  <c r="R20" i="10"/>
  <c r="R30" i="10"/>
  <c r="H41" i="10"/>
  <c r="R39" i="10"/>
  <c r="Q24" i="10"/>
  <c r="R18" i="10"/>
  <c r="R19" i="10"/>
  <c r="R21" i="10"/>
  <c r="R22" i="10"/>
  <c r="R27" i="10"/>
  <c r="R32" i="10"/>
  <c r="J41" i="10"/>
  <c r="G41" i="10"/>
  <c r="M38" i="11"/>
  <c r="F43" i="11"/>
  <c r="E43" i="11" s="1"/>
  <c r="N38" i="7"/>
  <c r="R64" i="4"/>
  <c r="T70" i="4" s="1"/>
  <c r="E32" i="11"/>
  <c r="G80" i="11" s="1"/>
  <c r="C10" i="18" s="1"/>
  <c r="C35" i="18" s="1"/>
  <c r="F25" i="11"/>
  <c r="D100" i="21" l="1"/>
  <c r="H100" i="21" s="1"/>
  <c r="D100" i="19"/>
  <c r="F149" i="19" s="1"/>
  <c r="D99" i="20"/>
  <c r="D100" i="17"/>
  <c r="D98" i="10"/>
  <c r="D91" i="21"/>
  <c r="F91" i="21" s="1"/>
  <c r="D91" i="19"/>
  <c r="F148" i="19" s="1"/>
  <c r="D91" i="17"/>
  <c r="D39" i="21"/>
  <c r="M148" i="21" s="1"/>
  <c r="D39" i="20"/>
  <c r="M145" i="20" s="1"/>
  <c r="D39" i="19"/>
  <c r="L148" i="19" s="1"/>
  <c r="L152" i="19" s="1"/>
  <c r="D71" i="21"/>
  <c r="D71" i="20"/>
  <c r="D71" i="19"/>
  <c r="P71" i="19" s="1"/>
  <c r="D71" i="17"/>
  <c r="D55" i="21"/>
  <c r="D55" i="20"/>
  <c r="G55" i="20" s="1"/>
  <c r="D55" i="19"/>
  <c r="D55" i="17"/>
  <c r="D48" i="14"/>
  <c r="D73" i="14" s="1"/>
  <c r="D86" i="14" s="1"/>
  <c r="E36" i="11"/>
  <c r="E39" i="21"/>
  <c r="E39" i="19"/>
  <c r="E39" i="20"/>
  <c r="E39" i="17"/>
  <c r="E37" i="10"/>
  <c r="E34" i="14"/>
  <c r="E91" i="21"/>
  <c r="E91" i="19"/>
  <c r="E91" i="17"/>
  <c r="E89" i="10"/>
  <c r="E55" i="21"/>
  <c r="E55" i="20"/>
  <c r="E55" i="19"/>
  <c r="E55" i="17"/>
  <c r="E53" i="10"/>
  <c r="E48" i="14"/>
  <c r="E73" i="14" s="1"/>
  <c r="E25" i="11"/>
  <c r="F27" i="14"/>
  <c r="F32" i="14" s="1"/>
  <c r="F32" i="17"/>
  <c r="F37" i="17" s="1"/>
  <c r="F30" i="10"/>
  <c r="D105" i="21"/>
  <c r="D105" i="19"/>
  <c r="P105" i="19" s="1"/>
  <c r="V105" i="19" s="1"/>
  <c r="D104" i="20"/>
  <c r="E100" i="21"/>
  <c r="E99" i="20"/>
  <c r="K99" i="20" s="1"/>
  <c r="K80" i="20" s="1"/>
  <c r="E100" i="19"/>
  <c r="E100" i="17"/>
  <c r="E98" i="10"/>
  <c r="J70" i="17"/>
  <c r="N72" i="14"/>
  <c r="N70" i="14" s="1"/>
  <c r="N45" i="14"/>
  <c r="H45" i="14"/>
  <c r="O72" i="14"/>
  <c r="O70" i="14" s="1"/>
  <c r="O45" i="14"/>
  <c r="F50" i="17"/>
  <c r="L72" i="14"/>
  <c r="R55" i="17"/>
  <c r="D39" i="17"/>
  <c r="H70" i="17"/>
  <c r="K28" i="17"/>
  <c r="R48" i="14"/>
  <c r="R73" i="14"/>
  <c r="F34" i="14"/>
  <c r="F38" i="14" s="1"/>
  <c r="F39" i="17"/>
  <c r="F43" i="17" s="1"/>
  <c r="G70" i="17"/>
  <c r="K70" i="17"/>
  <c r="D105" i="17"/>
  <c r="P45" i="14"/>
  <c r="P74" i="14"/>
  <c r="P70" i="14" s="1"/>
  <c r="I72" i="14"/>
  <c r="I70" i="14" s="1"/>
  <c r="I45" i="14"/>
  <c r="J72" i="14"/>
  <c r="J70" i="14" s="1"/>
  <c r="J45" i="14"/>
  <c r="M45" i="14"/>
  <c r="M72" i="14"/>
  <c r="D103" i="10"/>
  <c r="K26" i="10"/>
  <c r="K23" i="14"/>
  <c r="K30" i="11"/>
  <c r="D37" i="10"/>
  <c r="D146" i="10" s="1"/>
  <c r="D34" i="14"/>
  <c r="F37" i="10"/>
  <c r="Q19" i="9"/>
  <c r="P19" i="9"/>
  <c r="O19" i="9"/>
  <c r="N19" i="9"/>
  <c r="M19" i="9"/>
  <c r="L19" i="9"/>
  <c r="K19" i="9"/>
  <c r="J19" i="9"/>
  <c r="I19" i="9"/>
  <c r="H19" i="9"/>
  <c r="Q36" i="9"/>
  <c r="P36" i="9"/>
  <c r="O36" i="9"/>
  <c r="N36" i="9"/>
  <c r="M36" i="9"/>
  <c r="L36" i="9"/>
  <c r="K36" i="9"/>
  <c r="J36" i="9"/>
  <c r="I36" i="9"/>
  <c r="H36" i="9"/>
  <c r="G36" i="9"/>
  <c r="G19" i="9"/>
  <c r="F43" i="9"/>
  <c r="Q43" i="9"/>
  <c r="P43" i="9"/>
  <c r="O43" i="9"/>
  <c r="N43" i="9"/>
  <c r="L43" i="9"/>
  <c r="K43" i="9"/>
  <c r="J43" i="9"/>
  <c r="J52" i="9" s="1"/>
  <c r="I43" i="9"/>
  <c r="H43" i="9"/>
  <c r="G43" i="9"/>
  <c r="G99" i="20" l="1"/>
  <c r="J99" i="20"/>
  <c r="P91" i="19"/>
  <c r="G55" i="19"/>
  <c r="P55" i="19"/>
  <c r="P100" i="19"/>
  <c r="V100" i="19" s="1"/>
  <c r="E68" i="11"/>
  <c r="E32" i="21"/>
  <c r="E32" i="19"/>
  <c r="E32" i="20"/>
  <c r="E32" i="17"/>
  <c r="E30" i="10"/>
  <c r="E27" i="14"/>
  <c r="D32" i="21"/>
  <c r="D32" i="20"/>
  <c r="D32" i="19"/>
  <c r="D30" i="10"/>
  <c r="D27" i="14"/>
  <c r="D32" i="17"/>
  <c r="K38" i="11"/>
  <c r="O128" i="17"/>
  <c r="G128" i="17"/>
  <c r="K128" i="17"/>
  <c r="H128" i="17"/>
  <c r="L128" i="17"/>
  <c r="P128" i="17"/>
  <c r="I128" i="17"/>
  <c r="Q128" i="17"/>
  <c r="J128" i="17"/>
  <c r="N128" i="17"/>
  <c r="F128" i="17"/>
  <c r="F136" i="17" s="1"/>
  <c r="O52" i="9"/>
  <c r="K24" i="9"/>
  <c r="P52" i="9"/>
  <c r="H24" i="9"/>
  <c r="L24" i="9"/>
  <c r="G52" i="9"/>
  <c r="K52" i="9"/>
  <c r="G24" i="9"/>
  <c r="I24" i="9"/>
  <c r="H52" i="9"/>
  <c r="L52" i="9"/>
  <c r="Q24" i="9"/>
  <c r="N52" i="9"/>
  <c r="F76" i="14"/>
  <c r="J24" i="9"/>
  <c r="I52" i="9"/>
  <c r="Q52" i="9"/>
  <c r="N24" i="9"/>
  <c r="O24" i="9"/>
  <c r="P24" i="9"/>
  <c r="E73" i="10" l="1"/>
  <c r="L75" i="17"/>
  <c r="R75" i="17" s="1"/>
  <c r="L63" i="11"/>
  <c r="D97" i="21"/>
  <c r="D96" i="20"/>
  <c r="G96" i="20" s="1"/>
  <c r="D97" i="19"/>
  <c r="O31" i="17"/>
  <c r="O37" i="17" s="1"/>
  <c r="Q31" i="17"/>
  <c r="Q37" i="17" s="1"/>
  <c r="Q45" i="17" s="1"/>
  <c r="L31" i="17"/>
  <c r="J31" i="17"/>
  <c r="J37" i="17" s="1"/>
  <c r="G31" i="17"/>
  <c r="H31" i="17"/>
  <c r="D97" i="17"/>
  <c r="N31" i="17"/>
  <c r="N37" i="17" s="1"/>
  <c r="P31" i="17"/>
  <c r="P37" i="17" s="1"/>
  <c r="I31" i="17"/>
  <c r="I37" i="17" s="1"/>
  <c r="K31" i="17"/>
  <c r="O30" i="9"/>
  <c r="O38" i="9" s="1"/>
  <c r="O26" i="14"/>
  <c r="O32" i="14" s="1"/>
  <c r="O29" i="10"/>
  <c r="O35" i="10" s="1"/>
  <c r="J26" i="14"/>
  <c r="J32" i="14" s="1"/>
  <c r="J29" i="10"/>
  <c r="J35" i="10" s="1"/>
  <c r="J30" i="9"/>
  <c r="J38" i="9" s="1"/>
  <c r="I26" i="14"/>
  <c r="I32" i="14" s="1"/>
  <c r="I29" i="10"/>
  <c r="I35" i="10" s="1"/>
  <c r="I30" i="9"/>
  <c r="H26" i="14"/>
  <c r="H29" i="10"/>
  <c r="H30" i="9"/>
  <c r="H38" i="9" s="1"/>
  <c r="N30" i="9"/>
  <c r="N38" i="9" s="1"/>
  <c r="N26" i="14"/>
  <c r="N32" i="14" s="1"/>
  <c r="N29" i="10"/>
  <c r="N35" i="10" s="1"/>
  <c r="Q26" i="14"/>
  <c r="Q32" i="14" s="1"/>
  <c r="Q40" i="14" s="1"/>
  <c r="Q29" i="10"/>
  <c r="Q35" i="10" s="1"/>
  <c r="Q43" i="10" s="1"/>
  <c r="Q30" i="9"/>
  <c r="Q38" i="9" s="1"/>
  <c r="P30" i="9"/>
  <c r="P38" i="9" s="1"/>
  <c r="P26" i="14"/>
  <c r="P32" i="14" s="1"/>
  <c r="P29" i="10"/>
  <c r="P35" i="10" s="1"/>
  <c r="G26" i="14"/>
  <c r="G29" i="10"/>
  <c r="G30" i="9"/>
  <c r="G38" i="9" s="1"/>
  <c r="G53" i="9" s="1"/>
  <c r="L26" i="14"/>
  <c r="L29" i="10"/>
  <c r="L30" i="9"/>
  <c r="L38" i="9" s="1"/>
  <c r="K26" i="14"/>
  <c r="K29" i="10"/>
  <c r="K30" i="9"/>
  <c r="K38" i="9" s="1"/>
  <c r="Q55" i="7"/>
  <c r="P55" i="7"/>
  <c r="O55" i="7"/>
  <c r="N55" i="7"/>
  <c r="M55" i="7"/>
  <c r="L55" i="7"/>
  <c r="K55" i="7"/>
  <c r="K28" i="7" s="1"/>
  <c r="G97" i="19" l="1"/>
  <c r="P97" i="19"/>
  <c r="V97" i="19" s="1"/>
  <c r="E63" i="11"/>
  <c r="E68" i="10" s="1"/>
  <c r="R63" i="11"/>
  <c r="K35" i="17"/>
  <c r="K37" i="17" s="1"/>
  <c r="K30" i="14"/>
  <c r="K32" i="14" s="1"/>
  <c r="K33" i="10"/>
  <c r="K35" i="10" s="1"/>
  <c r="K30" i="7"/>
  <c r="E70" i="21"/>
  <c r="D75" i="21"/>
  <c r="D75" i="17"/>
  <c r="D75" i="20"/>
  <c r="D75" i="19"/>
  <c r="P75" i="19" s="1"/>
  <c r="E70" i="17"/>
  <c r="E70" i="20"/>
  <c r="E70" i="19"/>
  <c r="L70" i="17"/>
  <c r="D96" i="21"/>
  <c r="D96" i="19"/>
  <c r="D95" i="20"/>
  <c r="I38" i="9"/>
  <c r="K119" i="17"/>
  <c r="O119" i="17"/>
  <c r="G37" i="17"/>
  <c r="P119" i="17"/>
  <c r="M119" i="17"/>
  <c r="Q119" i="17"/>
  <c r="L119" i="17"/>
  <c r="J119" i="17"/>
  <c r="N119" i="17"/>
  <c r="D96" i="17"/>
  <c r="G35" i="10"/>
  <c r="G32" i="14"/>
  <c r="G95" i="20" l="1"/>
  <c r="J91" i="20"/>
  <c r="D160" i="20" s="1"/>
  <c r="G96" i="19"/>
  <c r="P96" i="19"/>
  <c r="V96" i="19" s="1"/>
  <c r="G71" i="7"/>
  <c r="C21" i="18" s="1"/>
  <c r="K38" i="7"/>
  <c r="D70" i="17"/>
  <c r="D70" i="20"/>
  <c r="G70" i="20" s="1"/>
  <c r="R70" i="19" s="1"/>
  <c r="D70" i="21"/>
  <c r="G70" i="21" s="1"/>
  <c r="D70" i="19"/>
  <c r="D110" i="17"/>
  <c r="R125" i="10"/>
  <c r="R116" i="10"/>
  <c r="R107" i="10"/>
  <c r="R105" i="10"/>
  <c r="R97" i="10"/>
  <c r="R88" i="10"/>
  <c r="R79" i="10"/>
  <c r="R77" i="10"/>
  <c r="R76" i="10"/>
  <c r="R67" i="10"/>
  <c r="R58" i="10"/>
  <c r="R49" i="10"/>
  <c r="R61" i="11"/>
  <c r="R60" i="11"/>
  <c r="R59" i="11"/>
  <c r="R58" i="11"/>
  <c r="R57" i="11"/>
  <c r="Q54" i="11"/>
  <c r="P54" i="11"/>
  <c r="O54" i="11"/>
  <c r="N54" i="11"/>
  <c r="M54" i="11"/>
  <c r="L54" i="11"/>
  <c r="K54" i="11"/>
  <c r="J54" i="11"/>
  <c r="I54" i="11"/>
  <c r="H54" i="11"/>
  <c r="G54" i="11"/>
  <c r="Q45" i="11"/>
  <c r="P45" i="11"/>
  <c r="O45" i="11"/>
  <c r="N45" i="11"/>
  <c r="M45" i="11"/>
  <c r="J45" i="11"/>
  <c r="I45" i="11"/>
  <c r="H45" i="11"/>
  <c r="G45" i="11"/>
  <c r="R11" i="11"/>
  <c r="R13" i="11"/>
  <c r="R14" i="11"/>
  <c r="R15" i="11"/>
  <c r="R16" i="11"/>
  <c r="R18" i="11"/>
  <c r="R20" i="11"/>
  <c r="R22" i="11"/>
  <c r="R24" i="11"/>
  <c r="R27" i="11"/>
  <c r="R29" i="11"/>
  <c r="R31" i="11"/>
  <c r="R32" i="11"/>
  <c r="R33" i="11"/>
  <c r="R34" i="11"/>
  <c r="R35" i="11"/>
  <c r="R36" i="11"/>
  <c r="R37" i="11"/>
  <c r="R42" i="11"/>
  <c r="R43" i="11"/>
  <c r="R48" i="11"/>
  <c r="R49" i="11"/>
  <c r="R51" i="11"/>
  <c r="R52" i="11"/>
  <c r="R53" i="11"/>
  <c r="R55" i="11"/>
  <c r="R56" i="11"/>
  <c r="R73" i="11"/>
  <c r="G46" i="7"/>
  <c r="Q45" i="4"/>
  <c r="P45" i="4"/>
  <c r="O45" i="4"/>
  <c r="N45" i="4"/>
  <c r="M45" i="4"/>
  <c r="L45" i="4"/>
  <c r="K45" i="4"/>
  <c r="I45" i="4"/>
  <c r="H45" i="4"/>
  <c r="G45" i="4"/>
  <c r="R60" i="4"/>
  <c r="R58" i="4"/>
  <c r="P70" i="19" l="1"/>
  <c r="F146" i="19"/>
  <c r="T70" i="19"/>
  <c r="U75" i="4"/>
  <c r="G70" i="19"/>
  <c r="E45" i="4"/>
  <c r="D45" i="4" s="1"/>
  <c r="K82" i="17"/>
  <c r="K80" i="17" s="1"/>
  <c r="O82" i="17"/>
  <c r="O80" i="17" s="1"/>
  <c r="J110" i="17"/>
  <c r="J108" i="17" s="1"/>
  <c r="N110" i="17"/>
  <c r="N108" i="17" s="1"/>
  <c r="H52" i="17"/>
  <c r="M52" i="17"/>
  <c r="Q52" i="17"/>
  <c r="J61" i="17"/>
  <c r="N61" i="17"/>
  <c r="P82" i="17"/>
  <c r="P80" i="17" s="1"/>
  <c r="K110" i="17"/>
  <c r="K108" i="17" s="1"/>
  <c r="O110" i="17"/>
  <c r="O108" i="17" s="1"/>
  <c r="I52" i="17"/>
  <c r="N52" i="17"/>
  <c r="G61" i="17"/>
  <c r="K61" i="17"/>
  <c r="O61" i="17"/>
  <c r="G82" i="17"/>
  <c r="L82" i="17"/>
  <c r="L80" i="17" s="1"/>
  <c r="I82" i="17"/>
  <c r="I80" i="17" s="1"/>
  <c r="M82" i="17"/>
  <c r="M80" i="17" s="1"/>
  <c r="Q82" i="17"/>
  <c r="Q80" i="17" s="1"/>
  <c r="L110" i="17"/>
  <c r="L108" i="17" s="1"/>
  <c r="P110" i="17"/>
  <c r="P108" i="17" s="1"/>
  <c r="J52" i="17"/>
  <c r="O52" i="17"/>
  <c r="H61" i="17"/>
  <c r="L61" i="17"/>
  <c r="P61" i="17"/>
  <c r="H82" i="17"/>
  <c r="H80" i="17" s="1"/>
  <c r="J82" i="17"/>
  <c r="J80" i="17" s="1"/>
  <c r="N82" i="17"/>
  <c r="N80" i="17" s="1"/>
  <c r="G110" i="17"/>
  <c r="M110" i="17"/>
  <c r="M108" i="17" s="1"/>
  <c r="Q110" i="17"/>
  <c r="Q108" i="17" s="1"/>
  <c r="G52" i="17"/>
  <c r="P52" i="17"/>
  <c r="I61" i="17"/>
  <c r="M61" i="17"/>
  <c r="Q61" i="17"/>
  <c r="K66" i="7"/>
  <c r="O66" i="7"/>
  <c r="L66" i="7"/>
  <c r="P66" i="7"/>
  <c r="M66" i="7"/>
  <c r="Q66" i="7"/>
  <c r="J66" i="7"/>
  <c r="N66" i="7"/>
  <c r="J75" i="4"/>
  <c r="J12" i="4" s="1"/>
  <c r="L12" i="4" s="1"/>
  <c r="G75" i="4"/>
  <c r="O75" i="4"/>
  <c r="H75" i="4"/>
  <c r="H12" i="4" s="1"/>
  <c r="L75" i="4"/>
  <c r="P76" i="14"/>
  <c r="P75" i="4"/>
  <c r="P33" i="4" s="1"/>
  <c r="N75" i="4"/>
  <c r="K75" i="4"/>
  <c r="I75" i="4"/>
  <c r="I12" i="4" s="1"/>
  <c r="M75" i="4"/>
  <c r="Q75" i="4"/>
  <c r="Q76" i="14"/>
  <c r="Q77" i="14" s="1"/>
  <c r="O76" i="14"/>
  <c r="Q74" i="11"/>
  <c r="N74" i="11"/>
  <c r="J74" i="11"/>
  <c r="J12" i="11" s="1"/>
  <c r="P74" i="11"/>
  <c r="G74" i="11"/>
  <c r="G12" i="11" s="1"/>
  <c r="O74" i="11"/>
  <c r="H74" i="11"/>
  <c r="H12" i="11" s="1"/>
  <c r="H19" i="11" s="1"/>
  <c r="H38" i="11" s="1"/>
  <c r="I74" i="11"/>
  <c r="I12" i="11" s="1"/>
  <c r="I19" i="11" s="1"/>
  <c r="I38" i="11" s="1"/>
  <c r="M74" i="11"/>
  <c r="R54" i="11"/>
  <c r="D61" i="19" l="1"/>
  <c r="F145" i="19" s="1"/>
  <c r="D82" i="20"/>
  <c r="D82" i="19"/>
  <c r="F147" i="19" s="1"/>
  <c r="D82" i="21"/>
  <c r="D82" i="17"/>
  <c r="D80" i="17" s="1"/>
  <c r="D75" i="4"/>
  <c r="G19" i="17"/>
  <c r="G45" i="17" s="1"/>
  <c r="G14" i="14"/>
  <c r="G21" i="14" s="1"/>
  <c r="G40" i="14" s="1"/>
  <c r="G19" i="11"/>
  <c r="G38" i="11" s="1"/>
  <c r="G17" i="10"/>
  <c r="G24" i="10" s="1"/>
  <c r="G43" i="10" s="1"/>
  <c r="O17" i="10"/>
  <c r="O24" i="10" s="1"/>
  <c r="O14" i="14"/>
  <c r="O21" i="14" s="1"/>
  <c r="O19" i="17"/>
  <c r="O19" i="4"/>
  <c r="H19" i="4"/>
  <c r="H38" i="4" s="1"/>
  <c r="H17" i="10"/>
  <c r="H24" i="10" s="1"/>
  <c r="H14" i="14"/>
  <c r="H21" i="14" s="1"/>
  <c r="H19" i="17"/>
  <c r="J19" i="11"/>
  <c r="R12" i="11"/>
  <c r="M14" i="14"/>
  <c r="M21" i="14" s="1"/>
  <c r="M19" i="4"/>
  <c r="M19" i="17"/>
  <c r="M17" i="10"/>
  <c r="M24" i="10" s="1"/>
  <c r="N17" i="10"/>
  <c r="N24" i="10" s="1"/>
  <c r="N19" i="4"/>
  <c r="N14" i="14"/>
  <c r="N21" i="14" s="1"/>
  <c r="N19" i="17"/>
  <c r="L17" i="10"/>
  <c r="L24" i="10" s="1"/>
  <c r="L19" i="4"/>
  <c r="L19" i="17"/>
  <c r="L14" i="14"/>
  <c r="L21" i="14" s="1"/>
  <c r="K19" i="4"/>
  <c r="K14" i="14"/>
  <c r="K21" i="14" s="1"/>
  <c r="K19" i="17"/>
  <c r="K17" i="10"/>
  <c r="K24" i="10" s="1"/>
  <c r="D61" i="17"/>
  <c r="D61" i="20"/>
  <c r="H61" i="21"/>
  <c r="E75" i="4"/>
  <c r="E82" i="21"/>
  <c r="E80" i="21" s="1"/>
  <c r="E82" i="19"/>
  <c r="E80" i="19" s="1"/>
  <c r="E82" i="20"/>
  <c r="E80" i="20" s="1"/>
  <c r="E82" i="17"/>
  <c r="E80" i="17" s="1"/>
  <c r="E80" i="10"/>
  <c r="E78" i="10" s="1"/>
  <c r="I19" i="17"/>
  <c r="I17" i="10"/>
  <c r="I24" i="10" s="1"/>
  <c r="I14" i="14"/>
  <c r="I19" i="4"/>
  <c r="I38" i="4" s="1"/>
  <c r="E61" i="21"/>
  <c r="E61" i="20"/>
  <c r="E61" i="19"/>
  <c r="E61" i="17"/>
  <c r="E59" i="10"/>
  <c r="J14" i="14"/>
  <c r="J21" i="14" s="1"/>
  <c r="J40" i="14" s="1"/>
  <c r="J19" i="17"/>
  <c r="J45" i="17" s="1"/>
  <c r="J17" i="10"/>
  <c r="J24" i="10" s="1"/>
  <c r="J43" i="10" s="1"/>
  <c r="J19" i="4"/>
  <c r="J38" i="4" s="1"/>
  <c r="J50" i="17"/>
  <c r="J136" i="17" s="1"/>
  <c r="N50" i="17"/>
  <c r="N136" i="17" s="1"/>
  <c r="P50" i="17"/>
  <c r="P136" i="17" s="1"/>
  <c r="G50" i="17"/>
  <c r="H50" i="17"/>
  <c r="M50" i="17"/>
  <c r="O50" i="17"/>
  <c r="O136" i="17" s="1"/>
  <c r="I50" i="17"/>
  <c r="Q50" i="17"/>
  <c r="Q136" i="17" s="1"/>
  <c r="Q137" i="17" s="1"/>
  <c r="G80" i="17"/>
  <c r="J76" i="14"/>
  <c r="N76" i="14"/>
  <c r="R53" i="14"/>
  <c r="R51" i="14"/>
  <c r="R13" i="7"/>
  <c r="R14" i="7"/>
  <c r="R15" i="7"/>
  <c r="R16" i="7"/>
  <c r="R17" i="7"/>
  <c r="R18" i="7"/>
  <c r="R19" i="7"/>
  <c r="R20" i="7"/>
  <c r="R21" i="7"/>
  <c r="R22" i="7"/>
  <c r="R24" i="7"/>
  <c r="R25" i="7"/>
  <c r="R26" i="7"/>
  <c r="R27" i="7"/>
  <c r="R29" i="7"/>
  <c r="R31" i="7"/>
  <c r="R32" i="7"/>
  <c r="R33" i="7"/>
  <c r="R34" i="7"/>
  <c r="R35" i="7"/>
  <c r="R36" i="7"/>
  <c r="R37" i="7"/>
  <c r="R46" i="7"/>
  <c r="R53" i="7"/>
  <c r="R54" i="7"/>
  <c r="R56" i="7"/>
  <c r="R52" i="7"/>
  <c r="R51" i="7"/>
  <c r="R50" i="7"/>
  <c r="R49" i="7"/>
  <c r="R47" i="7"/>
  <c r="P82" i="19" l="1"/>
  <c r="P61" i="19"/>
  <c r="D80" i="19"/>
  <c r="P80" i="19" s="1"/>
  <c r="O33" i="4"/>
  <c r="D80" i="21"/>
  <c r="H82" i="21"/>
  <c r="H136" i="21" s="1"/>
  <c r="M33" i="4"/>
  <c r="G82" i="20"/>
  <c r="D80" i="20"/>
  <c r="N33" i="4"/>
  <c r="K33" i="4"/>
  <c r="L33" i="4"/>
  <c r="J38" i="11"/>
  <c r="R19" i="11"/>
  <c r="J137" i="17"/>
  <c r="J77" i="14"/>
  <c r="I21" i="14"/>
  <c r="I43" i="10"/>
  <c r="E47" i="11"/>
  <c r="K54" i="17"/>
  <c r="R54" i="17" s="1"/>
  <c r="R47" i="11"/>
  <c r="R60" i="7"/>
  <c r="R57" i="7"/>
  <c r="R48" i="7"/>
  <c r="R62" i="7"/>
  <c r="R82" i="19" l="1"/>
  <c r="G80" i="20"/>
  <c r="O35" i="14"/>
  <c r="O38" i="14" s="1"/>
  <c r="O40" i="14" s="1"/>
  <c r="O77" i="14" s="1"/>
  <c r="O40" i="17"/>
  <c r="O43" i="17" s="1"/>
  <c r="O45" i="17" s="1"/>
  <c r="O137" i="17" s="1"/>
  <c r="O38" i="10"/>
  <c r="O41" i="10" s="1"/>
  <c r="O43" i="10" s="1"/>
  <c r="O36" i="4"/>
  <c r="O38" i="4" s="1"/>
  <c r="N38" i="10"/>
  <c r="N41" i="10" s="1"/>
  <c r="N43" i="10" s="1"/>
  <c r="N36" i="4"/>
  <c r="N38" i="4" s="1"/>
  <c r="N35" i="14"/>
  <c r="N38" i="14" s="1"/>
  <c r="N40" i="14" s="1"/>
  <c r="N77" i="14" s="1"/>
  <c r="N40" i="17"/>
  <c r="N43" i="17" s="1"/>
  <c r="N45" i="17" s="1"/>
  <c r="N137" i="17" s="1"/>
  <c r="M36" i="4"/>
  <c r="M38" i="4" s="1"/>
  <c r="M40" i="17"/>
  <c r="M43" i="17" s="1"/>
  <c r="M38" i="10"/>
  <c r="M41" i="10" s="1"/>
  <c r="M35" i="14"/>
  <c r="M38" i="14" s="1"/>
  <c r="K35" i="14"/>
  <c r="K38" i="14" s="1"/>
  <c r="K40" i="14" s="1"/>
  <c r="K40" i="17"/>
  <c r="K43" i="17" s="1"/>
  <c r="K45" i="17" s="1"/>
  <c r="K38" i="10"/>
  <c r="K41" i="10" s="1"/>
  <c r="K43" i="10" s="1"/>
  <c r="K36" i="4"/>
  <c r="K38" i="4" s="1"/>
  <c r="K76" i="4" s="1"/>
  <c r="L36" i="4"/>
  <c r="L38" i="4" s="1"/>
  <c r="L76" i="4" s="1"/>
  <c r="L38" i="10"/>
  <c r="L41" i="10" s="1"/>
  <c r="L40" i="17"/>
  <c r="L43" i="17" s="1"/>
  <c r="L35" i="14"/>
  <c r="L38" i="14" s="1"/>
  <c r="D54" i="21"/>
  <c r="D54" i="20"/>
  <c r="G54" i="20" s="1"/>
  <c r="D54" i="19"/>
  <c r="D54" i="17"/>
  <c r="I40" i="14"/>
  <c r="E54" i="21"/>
  <c r="E54" i="19"/>
  <c r="E54" i="20"/>
  <c r="E54" i="17"/>
  <c r="E52" i="10"/>
  <c r="I45" i="17"/>
  <c r="E46" i="11"/>
  <c r="K47" i="14"/>
  <c r="K53" i="17"/>
  <c r="R53" i="17" s="1"/>
  <c r="K45" i="11"/>
  <c r="R46" i="11"/>
  <c r="G119" i="17"/>
  <c r="G108" i="17" s="1"/>
  <c r="G136" i="17" s="1"/>
  <c r="G137" i="17" s="1"/>
  <c r="I119" i="17"/>
  <c r="I108" i="17" s="1"/>
  <c r="I136" i="17" s="1"/>
  <c r="I66" i="7"/>
  <c r="I67" i="7" s="1"/>
  <c r="I76" i="14"/>
  <c r="G66" i="7"/>
  <c r="F74" i="11"/>
  <c r="D63" i="10"/>
  <c r="D60" i="10"/>
  <c r="G132" i="10"/>
  <c r="Q132" i="10"/>
  <c r="P132" i="10"/>
  <c r="O132" i="10"/>
  <c r="N132" i="10"/>
  <c r="L132" i="10"/>
  <c r="K132" i="10"/>
  <c r="J132" i="10"/>
  <c r="I132" i="10"/>
  <c r="H132" i="10"/>
  <c r="Q131" i="10"/>
  <c r="P131" i="10"/>
  <c r="O131" i="10"/>
  <c r="N131" i="10"/>
  <c r="L131" i="10"/>
  <c r="K131" i="10"/>
  <c r="J131" i="10"/>
  <c r="I131" i="10"/>
  <c r="H131" i="10"/>
  <c r="G131" i="10"/>
  <c r="Q130" i="10"/>
  <c r="P130" i="10"/>
  <c r="O130" i="10"/>
  <c r="N130" i="10"/>
  <c r="L130" i="10"/>
  <c r="K130" i="10"/>
  <c r="J130" i="10"/>
  <c r="I130" i="10"/>
  <c r="H130" i="10"/>
  <c r="G130" i="10"/>
  <c r="Q129" i="10"/>
  <c r="P129" i="10"/>
  <c r="O129" i="10"/>
  <c r="N129" i="10"/>
  <c r="M129" i="10"/>
  <c r="L129" i="10"/>
  <c r="K129" i="10"/>
  <c r="J129" i="10"/>
  <c r="I129" i="10"/>
  <c r="H129" i="10"/>
  <c r="G129" i="10"/>
  <c r="Q128" i="10"/>
  <c r="P128" i="10"/>
  <c r="O128" i="10"/>
  <c r="N128" i="10"/>
  <c r="M128" i="10"/>
  <c r="L128" i="10"/>
  <c r="K128" i="10"/>
  <c r="J128" i="10"/>
  <c r="I128" i="10"/>
  <c r="H128" i="10"/>
  <c r="G128" i="10"/>
  <c r="Q127" i="10"/>
  <c r="P127" i="10"/>
  <c r="O127" i="10"/>
  <c r="N127" i="10"/>
  <c r="M127" i="10"/>
  <c r="L127" i="10"/>
  <c r="K127" i="10"/>
  <c r="J127" i="10"/>
  <c r="I127" i="10"/>
  <c r="H127" i="10"/>
  <c r="G127" i="10"/>
  <c r="Q126" i="10"/>
  <c r="P126" i="10"/>
  <c r="O126" i="10"/>
  <c r="N126" i="10"/>
  <c r="L126" i="10"/>
  <c r="K126" i="10"/>
  <c r="J126" i="10"/>
  <c r="I126" i="10"/>
  <c r="H126" i="10"/>
  <c r="Q124" i="10"/>
  <c r="P124" i="10"/>
  <c r="O124" i="10"/>
  <c r="N124" i="10"/>
  <c r="M124" i="10"/>
  <c r="L124" i="10"/>
  <c r="K124" i="10"/>
  <c r="J124" i="10"/>
  <c r="I124" i="10"/>
  <c r="H124" i="10"/>
  <c r="G124" i="10"/>
  <c r="Q123" i="10"/>
  <c r="P123" i="10"/>
  <c r="O123" i="10"/>
  <c r="N123" i="10"/>
  <c r="M123" i="10"/>
  <c r="L123" i="10"/>
  <c r="K123" i="10"/>
  <c r="J123" i="10"/>
  <c r="I123" i="10"/>
  <c r="H123" i="10"/>
  <c r="G123" i="10"/>
  <c r="Q122" i="10"/>
  <c r="P122" i="10"/>
  <c r="O122" i="10"/>
  <c r="N122" i="10"/>
  <c r="M122" i="10"/>
  <c r="L122" i="10"/>
  <c r="K122" i="10"/>
  <c r="J122" i="10"/>
  <c r="I122" i="10"/>
  <c r="H122" i="10"/>
  <c r="G122" i="10"/>
  <c r="Q121" i="10"/>
  <c r="P121" i="10"/>
  <c r="O121" i="10"/>
  <c r="N121" i="10"/>
  <c r="M121" i="10"/>
  <c r="L121" i="10"/>
  <c r="K121" i="10"/>
  <c r="J121" i="10"/>
  <c r="I121" i="10"/>
  <c r="H121" i="10"/>
  <c r="G121" i="10"/>
  <c r="Q120" i="10"/>
  <c r="P120" i="10"/>
  <c r="O120" i="10"/>
  <c r="N120" i="10"/>
  <c r="M120" i="10"/>
  <c r="L120" i="10"/>
  <c r="K120" i="10"/>
  <c r="J120" i="10"/>
  <c r="I120" i="10"/>
  <c r="H120" i="10"/>
  <c r="G120" i="10"/>
  <c r="Q119" i="10"/>
  <c r="P119" i="10"/>
  <c r="O119" i="10"/>
  <c r="N119" i="10"/>
  <c r="M119" i="10"/>
  <c r="L119" i="10"/>
  <c r="K119" i="10"/>
  <c r="J119" i="10"/>
  <c r="I119" i="10"/>
  <c r="G119" i="10"/>
  <c r="Q118" i="10"/>
  <c r="P118" i="10"/>
  <c r="O118" i="10"/>
  <c r="N118" i="10"/>
  <c r="M118" i="10"/>
  <c r="L118" i="10"/>
  <c r="K118" i="10"/>
  <c r="J118" i="10"/>
  <c r="I118" i="10"/>
  <c r="H118" i="10"/>
  <c r="G118" i="10"/>
  <c r="Q117" i="10"/>
  <c r="P117" i="10"/>
  <c r="O117" i="10"/>
  <c r="N117" i="10"/>
  <c r="M117" i="10"/>
  <c r="L117" i="10"/>
  <c r="K117" i="10"/>
  <c r="J117" i="10"/>
  <c r="I117" i="10"/>
  <c r="G117" i="10"/>
  <c r="Q115" i="10"/>
  <c r="P115" i="10"/>
  <c r="O115" i="10"/>
  <c r="N115" i="10"/>
  <c r="M115" i="10"/>
  <c r="L115" i="10"/>
  <c r="K115" i="10"/>
  <c r="J115" i="10"/>
  <c r="I115" i="10"/>
  <c r="H115" i="10"/>
  <c r="G115" i="10"/>
  <c r="Q114" i="10"/>
  <c r="P114" i="10"/>
  <c r="O114" i="10"/>
  <c r="N114" i="10"/>
  <c r="M114" i="10"/>
  <c r="L114" i="10"/>
  <c r="K114" i="10"/>
  <c r="J114" i="10"/>
  <c r="I114" i="10"/>
  <c r="H114" i="10"/>
  <c r="G114" i="10"/>
  <c r="Q113" i="10"/>
  <c r="P113" i="10"/>
  <c r="O113" i="10"/>
  <c r="N113" i="10"/>
  <c r="M113" i="10"/>
  <c r="L113" i="10"/>
  <c r="K113" i="10"/>
  <c r="J113" i="10"/>
  <c r="I113" i="10"/>
  <c r="H113" i="10"/>
  <c r="G113" i="10"/>
  <c r="Q112" i="10"/>
  <c r="P112" i="10"/>
  <c r="O112" i="10"/>
  <c r="N112" i="10"/>
  <c r="M112" i="10"/>
  <c r="L112" i="10"/>
  <c r="K112" i="10"/>
  <c r="J112" i="10"/>
  <c r="I112" i="10"/>
  <c r="H112" i="10"/>
  <c r="G112" i="10"/>
  <c r="Q111" i="10"/>
  <c r="P111" i="10"/>
  <c r="O111" i="10"/>
  <c r="N111" i="10"/>
  <c r="M111" i="10"/>
  <c r="L111" i="10"/>
  <c r="K111" i="10"/>
  <c r="J111" i="10"/>
  <c r="I111" i="10"/>
  <c r="H111" i="10"/>
  <c r="G111" i="10"/>
  <c r="Q110" i="10"/>
  <c r="P110" i="10"/>
  <c r="O110" i="10"/>
  <c r="N110" i="10"/>
  <c r="M110" i="10"/>
  <c r="L110" i="10"/>
  <c r="K110" i="10"/>
  <c r="J110" i="10"/>
  <c r="I110" i="10"/>
  <c r="H110" i="10"/>
  <c r="G110" i="10"/>
  <c r="Q109" i="10"/>
  <c r="P109" i="10"/>
  <c r="O109" i="10"/>
  <c r="N109" i="10"/>
  <c r="M109" i="10"/>
  <c r="L109" i="10"/>
  <c r="K109" i="10"/>
  <c r="J109" i="10"/>
  <c r="I109" i="10"/>
  <c r="H109" i="10"/>
  <c r="G109" i="10"/>
  <c r="Q108" i="10"/>
  <c r="Q106" i="10" s="1"/>
  <c r="P108" i="10"/>
  <c r="P106" i="10" s="1"/>
  <c r="O108" i="10"/>
  <c r="O106" i="10" s="1"/>
  <c r="N108" i="10"/>
  <c r="N106" i="10" s="1"/>
  <c r="M108" i="10"/>
  <c r="M106" i="10" s="1"/>
  <c r="L108" i="10"/>
  <c r="K108" i="10"/>
  <c r="J108" i="10"/>
  <c r="I108" i="10"/>
  <c r="H108" i="10"/>
  <c r="R102" i="10"/>
  <c r="Q96" i="10"/>
  <c r="P96" i="10"/>
  <c r="O96" i="10"/>
  <c r="N96" i="10"/>
  <c r="M96" i="10"/>
  <c r="L96" i="10"/>
  <c r="K96" i="10"/>
  <c r="J96" i="10"/>
  <c r="I96" i="10"/>
  <c r="H96" i="10"/>
  <c r="G96" i="10"/>
  <c r="Q95" i="10"/>
  <c r="O95" i="10"/>
  <c r="N95" i="10"/>
  <c r="M95" i="10"/>
  <c r="L95" i="10"/>
  <c r="K95" i="10"/>
  <c r="J95" i="10"/>
  <c r="I95" i="10"/>
  <c r="H95" i="10"/>
  <c r="G95" i="10"/>
  <c r="Q94" i="10"/>
  <c r="O94" i="10"/>
  <c r="N94" i="10"/>
  <c r="M94" i="10"/>
  <c r="L94" i="10"/>
  <c r="K94" i="10"/>
  <c r="J94" i="10"/>
  <c r="I94" i="10"/>
  <c r="H94" i="10"/>
  <c r="G94" i="10"/>
  <c r="Q93" i="10"/>
  <c r="O93" i="10"/>
  <c r="N93" i="10"/>
  <c r="M93" i="10"/>
  <c r="L93" i="10"/>
  <c r="K93" i="10"/>
  <c r="J93" i="10"/>
  <c r="I93" i="10"/>
  <c r="H93" i="10"/>
  <c r="G93" i="10"/>
  <c r="Q92" i="10"/>
  <c r="P92" i="10"/>
  <c r="O92" i="10"/>
  <c r="N92" i="10"/>
  <c r="L92" i="10"/>
  <c r="K92" i="10"/>
  <c r="J92" i="10"/>
  <c r="I92" i="10"/>
  <c r="H92" i="10"/>
  <c r="G92" i="10"/>
  <c r="Q91" i="10"/>
  <c r="P91" i="10"/>
  <c r="O91" i="10"/>
  <c r="N91" i="10"/>
  <c r="M91" i="10"/>
  <c r="L91" i="10"/>
  <c r="K91" i="10"/>
  <c r="J91" i="10"/>
  <c r="I91" i="10"/>
  <c r="H91" i="10"/>
  <c r="G91" i="10"/>
  <c r="Q90" i="10"/>
  <c r="P90" i="10"/>
  <c r="O90" i="10"/>
  <c r="N90" i="10"/>
  <c r="M90" i="10"/>
  <c r="L90" i="10"/>
  <c r="K90" i="10"/>
  <c r="J90" i="10"/>
  <c r="G90" i="10"/>
  <c r="Q89" i="10"/>
  <c r="P89" i="10"/>
  <c r="O89" i="10"/>
  <c r="N89" i="10"/>
  <c r="M89" i="10"/>
  <c r="L89" i="10"/>
  <c r="K89" i="10"/>
  <c r="J89" i="10"/>
  <c r="I89" i="10"/>
  <c r="H89" i="10"/>
  <c r="G89" i="10"/>
  <c r="Q87" i="10"/>
  <c r="P87" i="10"/>
  <c r="O87" i="10"/>
  <c r="N87" i="10"/>
  <c r="M87" i="10"/>
  <c r="K87" i="10"/>
  <c r="J87" i="10"/>
  <c r="I87" i="10"/>
  <c r="H87" i="10"/>
  <c r="G87" i="10"/>
  <c r="Q86" i="10"/>
  <c r="P86" i="10"/>
  <c r="N86" i="10"/>
  <c r="M86" i="10"/>
  <c r="L86" i="10"/>
  <c r="K86" i="10"/>
  <c r="J86" i="10"/>
  <c r="I86" i="10"/>
  <c r="H86" i="10"/>
  <c r="G86" i="10"/>
  <c r="Q85" i="10"/>
  <c r="P85" i="10"/>
  <c r="N85" i="10"/>
  <c r="M85" i="10"/>
  <c r="L85" i="10"/>
  <c r="K85" i="10"/>
  <c r="J85" i="10"/>
  <c r="I85" i="10"/>
  <c r="H85" i="10"/>
  <c r="G85" i="10"/>
  <c r="Q84" i="10"/>
  <c r="P84" i="10"/>
  <c r="N84" i="10"/>
  <c r="M84" i="10"/>
  <c r="L84" i="10"/>
  <c r="K84" i="10"/>
  <c r="J84" i="10"/>
  <c r="I84" i="10"/>
  <c r="H84" i="10"/>
  <c r="G84" i="10"/>
  <c r="Q83" i="10"/>
  <c r="P83" i="10"/>
  <c r="O83" i="10"/>
  <c r="N83" i="10"/>
  <c r="L83" i="10"/>
  <c r="K83" i="10"/>
  <c r="J83" i="10"/>
  <c r="I83" i="10"/>
  <c r="H83" i="10"/>
  <c r="G83" i="10"/>
  <c r="Q82" i="10"/>
  <c r="P82" i="10"/>
  <c r="O82" i="10"/>
  <c r="N82" i="10"/>
  <c r="M82" i="10"/>
  <c r="L82" i="10"/>
  <c r="J82" i="10"/>
  <c r="I82" i="10"/>
  <c r="H82" i="10"/>
  <c r="G82" i="10"/>
  <c r="Q81" i="10"/>
  <c r="P81" i="10"/>
  <c r="O81" i="10"/>
  <c r="N81" i="10"/>
  <c r="M81" i="10"/>
  <c r="L81" i="10"/>
  <c r="K81" i="10"/>
  <c r="J81" i="10"/>
  <c r="I81" i="10"/>
  <c r="H81" i="10"/>
  <c r="G81" i="10"/>
  <c r="Q80" i="10"/>
  <c r="Q78" i="10" s="1"/>
  <c r="P80" i="10"/>
  <c r="P78" i="10" s="1"/>
  <c r="O80" i="10"/>
  <c r="N80" i="10"/>
  <c r="N78" i="10" s="1"/>
  <c r="M80" i="10"/>
  <c r="M78" i="10" s="1"/>
  <c r="L80" i="10"/>
  <c r="K80" i="10"/>
  <c r="K78" i="10" s="1"/>
  <c r="J80" i="10"/>
  <c r="I80" i="10"/>
  <c r="H80" i="10"/>
  <c r="Q75" i="10"/>
  <c r="P75" i="10"/>
  <c r="O75" i="10"/>
  <c r="N75" i="10"/>
  <c r="M75" i="10"/>
  <c r="L75" i="10"/>
  <c r="K75" i="10"/>
  <c r="J75" i="10"/>
  <c r="I75" i="10"/>
  <c r="H75" i="10"/>
  <c r="G75" i="10"/>
  <c r="Q74" i="10"/>
  <c r="P74" i="10"/>
  <c r="O74" i="10"/>
  <c r="N74" i="10"/>
  <c r="M74" i="10"/>
  <c r="L74" i="10"/>
  <c r="K74" i="10"/>
  <c r="J74" i="10"/>
  <c r="I74" i="10"/>
  <c r="H74" i="10"/>
  <c r="G74" i="10"/>
  <c r="Q73" i="10"/>
  <c r="P73" i="10"/>
  <c r="O73" i="10"/>
  <c r="N73" i="10"/>
  <c r="M73" i="10"/>
  <c r="L73" i="10"/>
  <c r="K73" i="10"/>
  <c r="J73" i="10"/>
  <c r="I73" i="10"/>
  <c r="H73" i="10"/>
  <c r="G73" i="10"/>
  <c r="Q72" i="10"/>
  <c r="P72" i="10"/>
  <c r="O72" i="10"/>
  <c r="N72" i="10"/>
  <c r="M72" i="10"/>
  <c r="L72" i="10"/>
  <c r="K72" i="10"/>
  <c r="J72" i="10"/>
  <c r="I72" i="10"/>
  <c r="H72" i="10"/>
  <c r="G72" i="10"/>
  <c r="Q71" i="10"/>
  <c r="P71" i="10"/>
  <c r="O71" i="10"/>
  <c r="N71" i="10"/>
  <c r="M71" i="10"/>
  <c r="L71" i="10"/>
  <c r="K71" i="10"/>
  <c r="J71" i="10"/>
  <c r="I71" i="10"/>
  <c r="H71" i="10"/>
  <c r="G71" i="10"/>
  <c r="Q70" i="10"/>
  <c r="P70" i="10"/>
  <c r="O70" i="10"/>
  <c r="N70" i="10"/>
  <c r="M70" i="10"/>
  <c r="L70" i="10"/>
  <c r="K70" i="10"/>
  <c r="J70" i="10"/>
  <c r="I70" i="10"/>
  <c r="H70" i="10"/>
  <c r="G70" i="10"/>
  <c r="Q69" i="10"/>
  <c r="P69" i="10"/>
  <c r="O69" i="10"/>
  <c r="N69" i="10"/>
  <c r="M69" i="10"/>
  <c r="L69" i="10"/>
  <c r="K69" i="10"/>
  <c r="J69" i="10"/>
  <c r="I69" i="10"/>
  <c r="H69" i="10"/>
  <c r="G69" i="10"/>
  <c r="Q68" i="10"/>
  <c r="P68" i="10"/>
  <c r="O68" i="10"/>
  <c r="N68" i="10"/>
  <c r="M68" i="10"/>
  <c r="L68" i="10"/>
  <c r="K68" i="10"/>
  <c r="J68" i="10"/>
  <c r="I68" i="10"/>
  <c r="H68" i="10"/>
  <c r="Q66" i="10"/>
  <c r="P66" i="10"/>
  <c r="O66" i="10"/>
  <c r="N66" i="10"/>
  <c r="M66" i="10"/>
  <c r="L66" i="10"/>
  <c r="K66" i="10"/>
  <c r="J66" i="10"/>
  <c r="I66" i="10"/>
  <c r="H66" i="10"/>
  <c r="G66" i="10"/>
  <c r="Q65" i="10"/>
  <c r="P65" i="10"/>
  <c r="O65" i="10"/>
  <c r="N65" i="10"/>
  <c r="M65" i="10"/>
  <c r="L65" i="10"/>
  <c r="K65" i="10"/>
  <c r="J65" i="10"/>
  <c r="I65" i="10"/>
  <c r="H65" i="10"/>
  <c r="G65" i="10"/>
  <c r="Q64" i="10"/>
  <c r="P64" i="10"/>
  <c r="O64" i="10"/>
  <c r="N64" i="10"/>
  <c r="M64" i="10"/>
  <c r="L64" i="10"/>
  <c r="K64" i="10"/>
  <c r="J64" i="10"/>
  <c r="I64" i="10"/>
  <c r="H64" i="10"/>
  <c r="G64" i="10"/>
  <c r="Q63" i="10"/>
  <c r="P63" i="10"/>
  <c r="O63" i="10"/>
  <c r="N63" i="10"/>
  <c r="M63" i="10"/>
  <c r="L63" i="10"/>
  <c r="K63" i="10"/>
  <c r="J63" i="10"/>
  <c r="I63" i="10"/>
  <c r="H63" i="10"/>
  <c r="G63" i="10"/>
  <c r="Q62" i="10"/>
  <c r="P62" i="10"/>
  <c r="O62" i="10"/>
  <c r="N62" i="10"/>
  <c r="M62" i="10"/>
  <c r="L62" i="10"/>
  <c r="K62" i="10"/>
  <c r="J62" i="10"/>
  <c r="I62" i="10"/>
  <c r="H62" i="10"/>
  <c r="G62" i="10"/>
  <c r="Q61" i="10"/>
  <c r="P61" i="10"/>
  <c r="O61" i="10"/>
  <c r="N61" i="10"/>
  <c r="M61" i="10"/>
  <c r="L61" i="10"/>
  <c r="K61" i="10"/>
  <c r="J61" i="10"/>
  <c r="I61" i="10"/>
  <c r="H61" i="10"/>
  <c r="G61" i="10"/>
  <c r="Q60" i="10"/>
  <c r="P60" i="10"/>
  <c r="O60" i="10"/>
  <c r="N60" i="10"/>
  <c r="M60" i="10"/>
  <c r="L60" i="10"/>
  <c r="K60" i="10"/>
  <c r="J60" i="10"/>
  <c r="I60" i="10"/>
  <c r="H60" i="10"/>
  <c r="G60" i="10"/>
  <c r="Q59" i="10"/>
  <c r="P59" i="10"/>
  <c r="O59" i="10"/>
  <c r="N59" i="10"/>
  <c r="M59" i="10"/>
  <c r="L59" i="10"/>
  <c r="K59" i="10"/>
  <c r="J59" i="10"/>
  <c r="I59" i="10"/>
  <c r="H59" i="10"/>
  <c r="Q57" i="10"/>
  <c r="P57" i="10"/>
  <c r="O57" i="10"/>
  <c r="N57" i="10"/>
  <c r="M57" i="10"/>
  <c r="L57" i="10"/>
  <c r="K57" i="10"/>
  <c r="J57" i="10"/>
  <c r="I57" i="10"/>
  <c r="H57" i="10"/>
  <c r="G57" i="10"/>
  <c r="Q56" i="10"/>
  <c r="P56" i="10"/>
  <c r="O56" i="10"/>
  <c r="N56" i="10"/>
  <c r="M56" i="10"/>
  <c r="L56" i="10"/>
  <c r="K56" i="10"/>
  <c r="J56" i="10"/>
  <c r="I56" i="10"/>
  <c r="H56" i="10"/>
  <c r="G56" i="10"/>
  <c r="Q55" i="10"/>
  <c r="P55" i="10"/>
  <c r="O55" i="10"/>
  <c r="N55" i="10"/>
  <c r="M55" i="10"/>
  <c r="K55" i="10"/>
  <c r="J55" i="10"/>
  <c r="I55" i="10"/>
  <c r="H55" i="10"/>
  <c r="G55" i="10"/>
  <c r="Q54" i="10"/>
  <c r="P54" i="10"/>
  <c r="O54" i="10"/>
  <c r="N54" i="10"/>
  <c r="M54" i="10"/>
  <c r="L54" i="10"/>
  <c r="K54" i="10"/>
  <c r="J54" i="10"/>
  <c r="I54" i="10"/>
  <c r="H54" i="10"/>
  <c r="G54" i="10"/>
  <c r="Q53" i="10"/>
  <c r="P53" i="10"/>
  <c r="O53" i="10"/>
  <c r="N53" i="10"/>
  <c r="M53" i="10"/>
  <c r="L53" i="10"/>
  <c r="K53" i="10"/>
  <c r="J53" i="10"/>
  <c r="I53" i="10"/>
  <c r="H53" i="10"/>
  <c r="G53" i="10"/>
  <c r="Q52" i="10"/>
  <c r="P52" i="10"/>
  <c r="O52" i="10"/>
  <c r="N52" i="10"/>
  <c r="M52" i="10"/>
  <c r="L52" i="10"/>
  <c r="K52" i="10"/>
  <c r="J52" i="10"/>
  <c r="I52" i="10"/>
  <c r="H52" i="10"/>
  <c r="G52" i="10"/>
  <c r="Q51" i="10"/>
  <c r="P51" i="10"/>
  <c r="O51" i="10"/>
  <c r="N51" i="10"/>
  <c r="M51" i="10"/>
  <c r="L51" i="10"/>
  <c r="K51" i="10"/>
  <c r="J51" i="10"/>
  <c r="I51" i="10"/>
  <c r="H51" i="10"/>
  <c r="G51" i="10"/>
  <c r="Q50" i="10"/>
  <c r="P50" i="10"/>
  <c r="O50" i="10"/>
  <c r="N50" i="10"/>
  <c r="M50" i="10"/>
  <c r="K50" i="10"/>
  <c r="J50" i="10"/>
  <c r="I50" i="10"/>
  <c r="H50" i="10"/>
  <c r="G126" i="10"/>
  <c r="G108" i="10"/>
  <c r="G80" i="10"/>
  <c r="G68" i="10"/>
  <c r="G59" i="10"/>
  <c r="G50" i="10"/>
  <c r="F132" i="10"/>
  <c r="F131" i="10"/>
  <c r="F130" i="10"/>
  <c r="F129" i="10"/>
  <c r="D129" i="10"/>
  <c r="F128" i="10"/>
  <c r="D128" i="10"/>
  <c r="F127" i="10"/>
  <c r="D127" i="10"/>
  <c r="F126" i="10"/>
  <c r="F123" i="10"/>
  <c r="F122" i="10"/>
  <c r="F121" i="10"/>
  <c r="F120" i="10"/>
  <c r="F119" i="10"/>
  <c r="F118" i="10"/>
  <c r="F117" i="10"/>
  <c r="F114" i="10"/>
  <c r="F113" i="10"/>
  <c r="F112" i="10"/>
  <c r="F111" i="10"/>
  <c r="F110" i="10"/>
  <c r="D110" i="10"/>
  <c r="F109" i="10"/>
  <c r="F108" i="10"/>
  <c r="F106" i="10" s="1"/>
  <c r="F95" i="10"/>
  <c r="F94" i="10"/>
  <c r="F93" i="10"/>
  <c r="F92" i="10"/>
  <c r="D92" i="10"/>
  <c r="F91" i="10"/>
  <c r="D91" i="10"/>
  <c r="F90" i="10"/>
  <c r="F89" i="10"/>
  <c r="D89" i="10"/>
  <c r="F86" i="10"/>
  <c r="D86" i="10"/>
  <c r="F85" i="10"/>
  <c r="F84" i="10"/>
  <c r="F83" i="10"/>
  <c r="D83" i="10"/>
  <c r="F82" i="10"/>
  <c r="D82" i="10"/>
  <c r="F81" i="10"/>
  <c r="F80" i="10"/>
  <c r="D80" i="10"/>
  <c r="F74" i="10"/>
  <c r="F73" i="10"/>
  <c r="F72" i="10"/>
  <c r="F71" i="10"/>
  <c r="F70" i="10"/>
  <c r="F69" i="10"/>
  <c r="F68" i="10"/>
  <c r="F65" i="10"/>
  <c r="F64" i="10"/>
  <c r="F63" i="10"/>
  <c r="F62" i="10"/>
  <c r="F61" i="10"/>
  <c r="F60" i="10"/>
  <c r="F59" i="10"/>
  <c r="D74" i="10"/>
  <c r="D73" i="10"/>
  <c r="D72" i="10"/>
  <c r="D71" i="10"/>
  <c r="D70" i="10"/>
  <c r="D69" i="10"/>
  <c r="D68" i="10"/>
  <c r="D62" i="10"/>
  <c r="D61" i="10"/>
  <c r="D59" i="10"/>
  <c r="F56" i="10"/>
  <c r="F55" i="10"/>
  <c r="F54" i="10"/>
  <c r="F53" i="10"/>
  <c r="F52" i="10"/>
  <c r="F51" i="10"/>
  <c r="F50" i="10"/>
  <c r="D56" i="10"/>
  <c r="D53" i="10"/>
  <c r="F52" i="9"/>
  <c r="Q75" i="11"/>
  <c r="P75" i="11"/>
  <c r="O75" i="11"/>
  <c r="N75" i="11"/>
  <c r="M75" i="11"/>
  <c r="J75" i="11"/>
  <c r="I75" i="11"/>
  <c r="H75" i="11"/>
  <c r="G75" i="11"/>
  <c r="F30" i="11"/>
  <c r="D30" i="11"/>
  <c r="R133" i="10"/>
  <c r="R47" i="10"/>
  <c r="Q53" i="9"/>
  <c r="P53" i="9"/>
  <c r="O53" i="9"/>
  <c r="N53" i="9"/>
  <c r="L53" i="9"/>
  <c r="K53" i="9"/>
  <c r="J53" i="9"/>
  <c r="I53" i="9"/>
  <c r="H53" i="9"/>
  <c r="R51" i="9"/>
  <c r="R46" i="9"/>
  <c r="R45" i="9"/>
  <c r="R42" i="9"/>
  <c r="R37" i="9"/>
  <c r="R36" i="9"/>
  <c r="F36" i="9"/>
  <c r="D36" i="9"/>
  <c r="R35" i="9"/>
  <c r="R34" i="9"/>
  <c r="R33" i="9"/>
  <c r="R32" i="9"/>
  <c r="R31" i="9"/>
  <c r="F30" i="9"/>
  <c r="R29" i="9"/>
  <c r="R27" i="9"/>
  <c r="R22" i="9"/>
  <c r="R21" i="9"/>
  <c r="R20" i="9"/>
  <c r="R19" i="9"/>
  <c r="F19" i="9"/>
  <c r="D19" i="9"/>
  <c r="R18" i="9"/>
  <c r="R16" i="9"/>
  <c r="R15" i="9"/>
  <c r="R14" i="9"/>
  <c r="R13" i="9"/>
  <c r="R12" i="9"/>
  <c r="R11" i="9"/>
  <c r="Q67" i="7"/>
  <c r="P67" i="7"/>
  <c r="O67" i="7"/>
  <c r="N67" i="7"/>
  <c r="M67" i="7"/>
  <c r="L67" i="7"/>
  <c r="K67" i="7"/>
  <c r="J67" i="7"/>
  <c r="G67" i="7"/>
  <c r="R65" i="7"/>
  <c r="R64" i="7"/>
  <c r="R63" i="7"/>
  <c r="R61" i="7"/>
  <c r="R59" i="7"/>
  <c r="R45" i="7"/>
  <c r="R44" i="7"/>
  <c r="R43" i="7"/>
  <c r="R42" i="7"/>
  <c r="F36" i="7"/>
  <c r="F30" i="7"/>
  <c r="F19" i="7"/>
  <c r="D19" i="7"/>
  <c r="R12" i="7"/>
  <c r="R11" i="7"/>
  <c r="Q76" i="4"/>
  <c r="O76" i="4"/>
  <c r="N76" i="4"/>
  <c r="M76" i="4"/>
  <c r="J76" i="4"/>
  <c r="I76" i="4"/>
  <c r="H76" i="4"/>
  <c r="G76" i="4"/>
  <c r="R75" i="4"/>
  <c r="R59" i="4"/>
  <c r="T60" i="4" s="1"/>
  <c r="R57" i="4"/>
  <c r="R56" i="4"/>
  <c r="R55" i="4"/>
  <c r="R54" i="4"/>
  <c r="R53" i="4"/>
  <c r="R52" i="4"/>
  <c r="R50" i="4"/>
  <c r="T51" i="4" s="1"/>
  <c r="R48" i="4"/>
  <c r="R47" i="4"/>
  <c r="R46" i="4"/>
  <c r="R45" i="4"/>
  <c r="R44" i="4"/>
  <c r="R43" i="4"/>
  <c r="R42" i="4"/>
  <c r="R37" i="4"/>
  <c r="F36" i="4"/>
  <c r="R35" i="4"/>
  <c r="R34" i="4"/>
  <c r="R32" i="4"/>
  <c r="R31" i="4"/>
  <c r="R30" i="4"/>
  <c r="F30" i="4"/>
  <c r="E30" i="4" s="1"/>
  <c r="D30" i="4"/>
  <c r="R29" i="4"/>
  <c r="R27" i="4"/>
  <c r="R24" i="4"/>
  <c r="R22" i="4"/>
  <c r="R21" i="4"/>
  <c r="R20" i="4"/>
  <c r="F19" i="4"/>
  <c r="R18" i="4"/>
  <c r="R16" i="4"/>
  <c r="R15" i="4"/>
  <c r="R14" i="4"/>
  <c r="R13" i="4"/>
  <c r="R11" i="4"/>
  <c r="I80" i="20" l="1"/>
  <c r="G54" i="19"/>
  <c r="P54" i="19"/>
  <c r="L106" i="10"/>
  <c r="K106" i="10"/>
  <c r="F12" i="11"/>
  <c r="F19" i="11" s="1"/>
  <c r="O78" i="10"/>
  <c r="L78" i="10"/>
  <c r="I78" i="10"/>
  <c r="D53" i="21"/>
  <c r="D53" i="19"/>
  <c r="D53" i="20"/>
  <c r="G53" i="20" s="1"/>
  <c r="D53" i="17"/>
  <c r="I137" i="17"/>
  <c r="I77" i="14"/>
  <c r="J106" i="10"/>
  <c r="D84" i="10"/>
  <c r="D86" i="21"/>
  <c r="D86" i="20"/>
  <c r="G86" i="20" s="1"/>
  <c r="D86" i="19"/>
  <c r="P86" i="19" s="1"/>
  <c r="V86" i="19" s="1"/>
  <c r="D23" i="21"/>
  <c r="D23" i="19"/>
  <c r="D159" i="19" s="1"/>
  <c r="D23" i="20"/>
  <c r="J23" i="20" s="1"/>
  <c r="E53" i="21"/>
  <c r="E53" i="20"/>
  <c r="E53" i="19"/>
  <c r="E53" i="17"/>
  <c r="E47" i="14"/>
  <c r="E51" i="10"/>
  <c r="D83" i="21"/>
  <c r="D83" i="19"/>
  <c r="P83" i="19" s="1"/>
  <c r="V83" i="19" s="1"/>
  <c r="D83" i="20"/>
  <c r="H48" i="10"/>
  <c r="E12" i="11"/>
  <c r="D19" i="11" s="1"/>
  <c r="G79" i="11" s="1"/>
  <c r="F17" i="10"/>
  <c r="F24" i="10" s="1"/>
  <c r="F14" i="14"/>
  <c r="F21" i="14" s="1"/>
  <c r="F40" i="14" s="1"/>
  <c r="F77" i="14" s="1"/>
  <c r="R47" i="14"/>
  <c r="K72" i="14"/>
  <c r="K45" i="14"/>
  <c r="K76" i="14" s="1"/>
  <c r="K77" i="14" s="1"/>
  <c r="K52" i="17"/>
  <c r="K50" i="17" s="1"/>
  <c r="K136" i="17" s="1"/>
  <c r="K137" i="17" s="1"/>
  <c r="K74" i="11"/>
  <c r="K75" i="11" s="1"/>
  <c r="D78" i="10"/>
  <c r="D62" i="17"/>
  <c r="D47" i="14"/>
  <c r="D23" i="17"/>
  <c r="D86" i="17"/>
  <c r="D65" i="17"/>
  <c r="D67" i="17"/>
  <c r="D23" i="14"/>
  <c r="D28" i="17"/>
  <c r="D83" i="17"/>
  <c r="D53" i="14"/>
  <c r="F78" i="10"/>
  <c r="G106" i="10"/>
  <c r="D21" i="10"/>
  <c r="D18" i="14"/>
  <c r="D65" i="10"/>
  <c r="H78" i="10"/>
  <c r="G78" i="10"/>
  <c r="J78" i="10"/>
  <c r="I106" i="10"/>
  <c r="I48" i="10"/>
  <c r="D26" i="10"/>
  <c r="E30" i="11"/>
  <c r="F48" i="10"/>
  <c r="Q48" i="10"/>
  <c r="Q134" i="10" s="1"/>
  <c r="Q135" i="10" s="1"/>
  <c r="P48" i="10"/>
  <c r="P134" i="10" s="1"/>
  <c r="N48" i="10"/>
  <c r="N134" i="10" s="1"/>
  <c r="N135" i="10" s="1"/>
  <c r="O48" i="10"/>
  <c r="M48" i="10"/>
  <c r="K48" i="10"/>
  <c r="K134" i="10" s="1"/>
  <c r="K135" i="10" s="1"/>
  <c r="J48" i="10"/>
  <c r="G48" i="10"/>
  <c r="R68" i="10"/>
  <c r="R62" i="10"/>
  <c r="R66" i="10"/>
  <c r="R70" i="10"/>
  <c r="R74" i="10"/>
  <c r="R81" i="10"/>
  <c r="R85" i="10"/>
  <c r="R90" i="10"/>
  <c r="R94" i="10"/>
  <c r="R54" i="10"/>
  <c r="R129" i="10"/>
  <c r="R80" i="10"/>
  <c r="R53" i="10"/>
  <c r="R57" i="10"/>
  <c r="R61" i="10"/>
  <c r="R65" i="10"/>
  <c r="R69" i="10"/>
  <c r="R73" i="10"/>
  <c r="R84" i="10"/>
  <c r="R89" i="10"/>
  <c r="R93" i="10"/>
  <c r="R101" i="10"/>
  <c r="R112" i="10"/>
  <c r="R113" i="10"/>
  <c r="R115" i="10"/>
  <c r="R124" i="10"/>
  <c r="R128" i="10"/>
  <c r="F36" i="11"/>
  <c r="R98" i="10"/>
  <c r="R52" i="10"/>
  <c r="R56" i="10"/>
  <c r="R60" i="10"/>
  <c r="R64" i="10"/>
  <c r="R72" i="10"/>
  <c r="R83" i="10"/>
  <c r="R87" i="10"/>
  <c r="R92" i="10"/>
  <c r="R96" i="10"/>
  <c r="R100" i="10"/>
  <c r="R104" i="10"/>
  <c r="R127" i="10"/>
  <c r="R59" i="10"/>
  <c r="R108" i="10"/>
  <c r="R51" i="10"/>
  <c r="R63" i="10"/>
  <c r="R71" i="10"/>
  <c r="R75" i="10"/>
  <c r="R82" i="10"/>
  <c r="R86" i="10"/>
  <c r="R91" i="10"/>
  <c r="R95" i="10"/>
  <c r="R99" i="10"/>
  <c r="R103" i="10"/>
  <c r="R114" i="10"/>
  <c r="R110" i="10"/>
  <c r="R111" i="10"/>
  <c r="R109" i="10"/>
  <c r="R120" i="10"/>
  <c r="R118" i="10"/>
  <c r="R122" i="10"/>
  <c r="R121" i="10"/>
  <c r="R123" i="10"/>
  <c r="D93" i="10"/>
  <c r="D95" i="10"/>
  <c r="F35" i="10"/>
  <c r="F41" i="10"/>
  <c r="D81" i="10"/>
  <c r="D90" i="10"/>
  <c r="F38" i="9"/>
  <c r="F53" i="9" s="1"/>
  <c r="F38" i="7"/>
  <c r="F67" i="7" s="1"/>
  <c r="F38" i="4"/>
  <c r="F76" i="4" s="1"/>
  <c r="G83" i="20" l="1"/>
  <c r="E168" i="19"/>
  <c r="G53" i="19"/>
  <c r="P53" i="19"/>
  <c r="F19" i="17"/>
  <c r="O134" i="10"/>
  <c r="O135" i="10" s="1"/>
  <c r="F38" i="11"/>
  <c r="F75" i="11" s="1"/>
  <c r="D66" i="21"/>
  <c r="D66" i="19"/>
  <c r="D66" i="20"/>
  <c r="G66" i="20" s="1"/>
  <c r="E19" i="11"/>
  <c r="E38" i="11" s="1"/>
  <c r="M142" i="20"/>
  <c r="D55" i="14"/>
  <c r="D51" i="14" s="1"/>
  <c r="D87" i="21"/>
  <c r="D87" i="19"/>
  <c r="P87" i="19" s="1"/>
  <c r="V87" i="19" s="1"/>
  <c r="D87" i="20"/>
  <c r="G87" i="20" s="1"/>
  <c r="L144" i="19"/>
  <c r="M144" i="21"/>
  <c r="K70" i="14"/>
  <c r="C9" i="18"/>
  <c r="F134" i="10"/>
  <c r="J134" i="10"/>
  <c r="J135" i="10" s="1"/>
  <c r="R78" i="10"/>
  <c r="D66" i="17"/>
  <c r="D87" i="17"/>
  <c r="L23" i="14"/>
  <c r="R23" i="14" s="1"/>
  <c r="L28" i="17"/>
  <c r="G76" i="14"/>
  <c r="D85" i="10"/>
  <c r="G134" i="10"/>
  <c r="G135" i="10" s="1"/>
  <c r="I134" i="10"/>
  <c r="I135" i="10" s="1"/>
  <c r="D64" i="10"/>
  <c r="L30" i="11"/>
  <c r="L26" i="10"/>
  <c r="E50" i="11"/>
  <c r="R21" i="11"/>
  <c r="F43" i="10"/>
  <c r="D52" i="10"/>
  <c r="D54" i="10"/>
  <c r="D94" i="10"/>
  <c r="J83" i="20" l="1"/>
  <c r="J82" i="20" s="1"/>
  <c r="J80" i="20"/>
  <c r="D159" i="20"/>
  <c r="D158" i="20" s="1"/>
  <c r="D164" i="20" s="1"/>
  <c r="F45" i="17"/>
  <c r="G66" i="19"/>
  <c r="P66" i="19"/>
  <c r="E57" i="21"/>
  <c r="E57" i="20"/>
  <c r="E57" i="19"/>
  <c r="E57" i="17"/>
  <c r="E55" i="10"/>
  <c r="E49" i="14"/>
  <c r="F135" i="10"/>
  <c r="L32" i="14"/>
  <c r="L40" i="14" s="1"/>
  <c r="L57" i="17"/>
  <c r="R57" i="17" s="1"/>
  <c r="L49" i="14"/>
  <c r="L37" i="17"/>
  <c r="G77" i="14"/>
  <c r="R50" i="11"/>
  <c r="L45" i="11"/>
  <c r="E45" i="11" s="1"/>
  <c r="L55" i="10"/>
  <c r="R55" i="10" s="1"/>
  <c r="L35" i="10"/>
  <c r="R26" i="10"/>
  <c r="L38" i="11"/>
  <c r="R30" i="11"/>
  <c r="D51" i="10"/>
  <c r="F137" i="17" l="1"/>
  <c r="D52" i="20"/>
  <c r="D52" i="17"/>
  <c r="D50" i="17" s="1"/>
  <c r="D52" i="21"/>
  <c r="D52" i="19"/>
  <c r="F144" i="19" s="1"/>
  <c r="F152" i="19" s="1"/>
  <c r="D50" i="10"/>
  <c r="D48" i="10" s="1"/>
  <c r="D74" i="11"/>
  <c r="D77" i="11" s="1"/>
  <c r="E74" i="11"/>
  <c r="E52" i="21"/>
  <c r="E50" i="21" s="1"/>
  <c r="E52" i="20"/>
  <c r="E50" i="20" s="1"/>
  <c r="E52" i="19"/>
  <c r="E50" i="19" s="1"/>
  <c r="E52" i="17"/>
  <c r="E50" i="17" s="1"/>
  <c r="E50" i="10"/>
  <c r="E48" i="10" s="1"/>
  <c r="D57" i="21"/>
  <c r="D57" i="20"/>
  <c r="G57" i="20" s="1"/>
  <c r="D57" i="19"/>
  <c r="E45" i="14"/>
  <c r="D57" i="17"/>
  <c r="D49" i="14"/>
  <c r="L74" i="14"/>
  <c r="L45" i="14"/>
  <c r="R49" i="14"/>
  <c r="L52" i="17"/>
  <c r="L45" i="17"/>
  <c r="L43" i="10"/>
  <c r="R38" i="11"/>
  <c r="L74" i="11"/>
  <c r="R74" i="11" s="1"/>
  <c r="R45" i="11"/>
  <c r="L50" i="10"/>
  <c r="R50" i="10" s="1"/>
  <c r="D55" i="10"/>
  <c r="D123" i="10"/>
  <c r="D122" i="10"/>
  <c r="D120" i="10"/>
  <c r="D112" i="10"/>
  <c r="D111" i="10"/>
  <c r="D114" i="10"/>
  <c r="D113" i="10"/>
  <c r="D109" i="10"/>
  <c r="D108" i="10"/>
  <c r="G57" i="19" l="1"/>
  <c r="P57" i="19"/>
  <c r="P52" i="19"/>
  <c r="P50" i="19" s="1"/>
  <c r="E75" i="11"/>
  <c r="E77" i="11"/>
  <c r="D153" i="10"/>
  <c r="G52" i="20"/>
  <c r="R52" i="19" s="1"/>
  <c r="D50" i="20"/>
  <c r="G78" i="11"/>
  <c r="C8" i="18" s="1"/>
  <c r="F61" i="20"/>
  <c r="F61" i="19"/>
  <c r="D36" i="11"/>
  <c r="D38" i="11" s="1"/>
  <c r="D75" i="11" s="1"/>
  <c r="G52" i="19"/>
  <c r="D50" i="19"/>
  <c r="F52" i="21"/>
  <c r="F136" i="21" s="1"/>
  <c r="D50" i="21"/>
  <c r="L75" i="11"/>
  <c r="R75" i="11" s="1"/>
  <c r="L70" i="14"/>
  <c r="D45" i="14"/>
  <c r="L50" i="17"/>
  <c r="L76" i="14"/>
  <c r="R45" i="14"/>
  <c r="L48" i="10"/>
  <c r="Q61" i="19" l="1"/>
  <c r="E145" i="19"/>
  <c r="T52" i="19"/>
  <c r="G61" i="19"/>
  <c r="G50" i="19" s="1"/>
  <c r="F50" i="19"/>
  <c r="Q50" i="19" s="1"/>
  <c r="G61" i="20"/>
  <c r="G144" i="20" s="1"/>
  <c r="F50" i="20"/>
  <c r="L136" i="17"/>
  <c r="L77" i="14"/>
  <c r="L134" i="10"/>
  <c r="R48" i="10"/>
  <c r="G50" i="20" l="1"/>
  <c r="M50" i="20" s="1"/>
  <c r="R61" i="19"/>
  <c r="L137" i="17"/>
  <c r="L135" i="10"/>
  <c r="D123" i="17"/>
  <c r="D121" i="10"/>
  <c r="D61" i="14"/>
  <c r="I50" i="20" l="1"/>
  <c r="T61" i="19"/>
  <c r="R50" i="19"/>
  <c r="D120" i="17"/>
  <c r="D118" i="10"/>
  <c r="T50" i="19" l="1"/>
  <c r="R58" i="7"/>
  <c r="H121" i="17"/>
  <c r="R121" i="17" s="1"/>
  <c r="H119" i="10"/>
  <c r="R119" i="10" s="1"/>
  <c r="H59" i="14"/>
  <c r="H72" i="14" s="1"/>
  <c r="E58" i="7"/>
  <c r="E121" i="17" s="1"/>
  <c r="H55" i="7"/>
  <c r="H28" i="7" s="1"/>
  <c r="D58" i="7" l="1"/>
  <c r="D121" i="19" s="1"/>
  <c r="P121" i="19" s="1"/>
  <c r="V121" i="19" s="1"/>
  <c r="H57" i="14"/>
  <c r="R57" i="14" s="1"/>
  <c r="H70" i="14"/>
  <c r="R72" i="14"/>
  <c r="H35" i="17"/>
  <c r="E28" i="7"/>
  <c r="H30" i="7"/>
  <c r="H30" i="14"/>
  <c r="H33" i="10"/>
  <c r="R28" i="7"/>
  <c r="E119" i="20"/>
  <c r="D119" i="20"/>
  <c r="D55" i="7"/>
  <c r="D59" i="14"/>
  <c r="H66" i="7"/>
  <c r="R66" i="7" s="1"/>
  <c r="E121" i="19"/>
  <c r="D121" i="21"/>
  <c r="E59" i="14"/>
  <c r="H119" i="17"/>
  <c r="E121" i="21"/>
  <c r="D121" i="17"/>
  <c r="D119" i="10"/>
  <c r="E55" i="7"/>
  <c r="H117" i="10"/>
  <c r="R59" i="14"/>
  <c r="R55" i="7"/>
  <c r="E119" i="10"/>
  <c r="H76" i="14" l="1"/>
  <c r="E57" i="14"/>
  <c r="E72" i="14"/>
  <c r="E119" i="17"/>
  <c r="E108" i="17" s="1"/>
  <c r="E109" i="20"/>
  <c r="E107" i="20" s="1"/>
  <c r="E66" i="7"/>
  <c r="E119" i="19"/>
  <c r="E108" i="19" s="1"/>
  <c r="E117" i="10"/>
  <c r="E106" i="10" s="1"/>
  <c r="E108" i="21"/>
  <c r="H37" i="17"/>
  <c r="R30" i="14"/>
  <c r="H32" i="14"/>
  <c r="R30" i="7"/>
  <c r="H38" i="7"/>
  <c r="E35" i="21"/>
  <c r="E30" i="14"/>
  <c r="D28" i="7"/>
  <c r="E35" i="19"/>
  <c r="E35" i="20"/>
  <c r="E30" i="7"/>
  <c r="E38" i="7" s="1"/>
  <c r="E33" i="10"/>
  <c r="E35" i="17"/>
  <c r="H35" i="10"/>
  <c r="R33" i="10"/>
  <c r="H106" i="10"/>
  <c r="R117" i="10"/>
  <c r="D72" i="14"/>
  <c r="D57" i="14"/>
  <c r="D66" i="7"/>
  <c r="D117" i="10"/>
  <c r="D106" i="10" s="1"/>
  <c r="D119" i="19"/>
  <c r="D119" i="17"/>
  <c r="D108" i="17" s="1"/>
  <c r="D109" i="20"/>
  <c r="D107" i="20" s="1"/>
  <c r="H108" i="17"/>
  <c r="P119" i="19" l="1"/>
  <c r="V119" i="19" s="1"/>
  <c r="E67" i="7"/>
  <c r="G119" i="19"/>
  <c r="D108" i="19"/>
  <c r="H43" i="10"/>
  <c r="H67" i="7"/>
  <c r="R67" i="7" s="1"/>
  <c r="R38" i="7"/>
  <c r="H136" i="17"/>
  <c r="H40" i="14"/>
  <c r="D85" i="14"/>
  <c r="R106" i="10"/>
  <c r="H134" i="10"/>
  <c r="D35" i="20"/>
  <c r="D30" i="7"/>
  <c r="D33" i="10"/>
  <c r="D35" i="19"/>
  <c r="D35" i="17"/>
  <c r="D35" i="21"/>
  <c r="D30" i="14"/>
  <c r="H45" i="17"/>
  <c r="P108" i="19" l="1"/>
  <c r="H77" i="14"/>
  <c r="L143" i="19"/>
  <c r="G109" i="20"/>
  <c r="G107" i="20" s="1"/>
  <c r="H137" i="17"/>
  <c r="M141" i="20"/>
  <c r="H135" i="10"/>
  <c r="M143" i="21"/>
  <c r="D36" i="7" l="1"/>
  <c r="D38" i="7" s="1"/>
  <c r="D67" i="7" s="1"/>
  <c r="G70" i="7"/>
  <c r="C20" i="18" s="1"/>
  <c r="F110" i="19"/>
  <c r="Q110" i="19" s="1"/>
  <c r="T110" i="19" s="1"/>
  <c r="V110" i="19" s="1"/>
  <c r="F109" i="20"/>
  <c r="F107" i="20" s="1"/>
  <c r="F134" i="20" l="1"/>
  <c r="F197" i="20" s="1"/>
  <c r="I107" i="20"/>
  <c r="F108" i="19"/>
  <c r="Q108" i="19" s="1"/>
  <c r="T108" i="19" s="1"/>
  <c r="V108" i="19" s="1"/>
  <c r="G110" i="19"/>
  <c r="G108" i="19" s="1"/>
  <c r="R49" i="9" l="1"/>
  <c r="M133" i="17"/>
  <c r="R133" i="17" s="1"/>
  <c r="E49" i="9"/>
  <c r="E131" i="10" s="1"/>
  <c r="M131" i="10"/>
  <c r="R131" i="10" s="1"/>
  <c r="E50" i="9"/>
  <c r="E132" i="10" s="1"/>
  <c r="M132" i="10"/>
  <c r="R132" i="10" s="1"/>
  <c r="M132" i="17"/>
  <c r="R132" i="17" s="1"/>
  <c r="E48" i="9" l="1"/>
  <c r="D50" i="9"/>
  <c r="M134" i="17"/>
  <c r="R134" i="17" s="1"/>
  <c r="D49" i="9"/>
  <c r="R48" i="9"/>
  <c r="M43" i="9"/>
  <c r="M67" i="14"/>
  <c r="M130" i="10"/>
  <c r="R130" i="10" s="1"/>
  <c r="R43" i="9" l="1"/>
  <c r="E43" i="9"/>
  <c r="M24" i="9"/>
  <c r="M128" i="17"/>
  <c r="M126" i="10"/>
  <c r="M52" i="9"/>
  <c r="R52" i="9" s="1"/>
  <c r="D132" i="10"/>
  <c r="D80" i="14" s="1"/>
  <c r="D88" i="14" s="1"/>
  <c r="D134" i="21"/>
  <c r="D132" i="20"/>
  <c r="D134" i="19"/>
  <c r="P134" i="19" s="1"/>
  <c r="V134" i="19" s="1"/>
  <c r="D134" i="17"/>
  <c r="M63" i="14"/>
  <c r="R67" i="14"/>
  <c r="M74" i="14"/>
  <c r="D133" i="21"/>
  <c r="D133" i="19"/>
  <c r="P133" i="19" s="1"/>
  <c r="V133" i="19" s="1"/>
  <c r="D131" i="20"/>
  <c r="D133" i="17"/>
  <c r="D131" i="10"/>
  <c r="D48" i="9"/>
  <c r="D43" i="9" s="1"/>
  <c r="E130" i="10"/>
  <c r="E67" i="14"/>
  <c r="E63" i="14" l="1"/>
  <c r="E76" i="14" s="1"/>
  <c r="E74" i="14"/>
  <c r="E70" i="14" s="1"/>
  <c r="D67" i="14"/>
  <c r="D130" i="10"/>
  <c r="D130" i="20"/>
  <c r="D132" i="21"/>
  <c r="D132" i="19"/>
  <c r="P132" i="19" s="1"/>
  <c r="V132" i="19" s="1"/>
  <c r="D132" i="17"/>
  <c r="M134" i="10"/>
  <c r="R134" i="10" s="1"/>
  <c r="R126" i="10"/>
  <c r="M29" i="10"/>
  <c r="R24" i="9"/>
  <c r="M30" i="9"/>
  <c r="M26" i="14"/>
  <c r="M31" i="17"/>
  <c r="E24" i="9"/>
  <c r="D24" i="9" s="1"/>
  <c r="R74" i="14"/>
  <c r="M70" i="14"/>
  <c r="R70" i="14" s="1"/>
  <c r="R63" i="14"/>
  <c r="M76" i="14"/>
  <c r="R76" i="14" s="1"/>
  <c r="M136" i="17"/>
  <c r="E52" i="9"/>
  <c r="E128" i="17"/>
  <c r="E136" i="17" s="1"/>
  <c r="E128" i="21"/>
  <c r="E136" i="21" s="1"/>
  <c r="E126" i="20"/>
  <c r="E128" i="19"/>
  <c r="E136" i="19" s="1"/>
  <c r="E126" i="10"/>
  <c r="E134" i="10" s="1"/>
  <c r="D141" i="10" s="1"/>
  <c r="E134" i="20" l="1"/>
  <c r="E197" i="20" s="1"/>
  <c r="E206" i="20"/>
  <c r="E200" i="20"/>
  <c r="D31" i="21"/>
  <c r="D31" i="17"/>
  <c r="D37" i="17" s="1"/>
  <c r="D31" i="19"/>
  <c r="D29" i="10"/>
  <c r="D35" i="10" s="1"/>
  <c r="D31" i="20"/>
  <c r="J31" i="20" s="1"/>
  <c r="D26" i="14"/>
  <c r="D32" i="14" s="1"/>
  <c r="D30" i="9"/>
  <c r="R30" i="9"/>
  <c r="M38" i="9"/>
  <c r="D63" i="14"/>
  <c r="D76" i="14" s="1"/>
  <c r="D74" i="14"/>
  <c r="D126" i="20"/>
  <c r="D126" i="10"/>
  <c r="D134" i="10" s="1"/>
  <c r="D128" i="19"/>
  <c r="D128" i="17"/>
  <c r="D136" i="17" s="1"/>
  <c r="D52" i="9"/>
  <c r="D128" i="21"/>
  <c r="E31" i="20"/>
  <c r="E37" i="20" s="1"/>
  <c r="E29" i="10"/>
  <c r="E35" i="10" s="1"/>
  <c r="E31" i="19"/>
  <c r="E37" i="19" s="1"/>
  <c r="E31" i="17"/>
  <c r="E37" i="17" s="1"/>
  <c r="E26" i="14"/>
  <c r="E32" i="14" s="1"/>
  <c r="E30" i="9"/>
  <c r="E38" i="9" s="1"/>
  <c r="E53" i="9" s="1"/>
  <c r="E31" i="21"/>
  <c r="E37" i="21" s="1"/>
  <c r="M37" i="17"/>
  <c r="M35" i="10"/>
  <c r="R29" i="10"/>
  <c r="M32" i="14"/>
  <c r="R26" i="14"/>
  <c r="D206" i="20" l="1"/>
  <c r="D200" i="20"/>
  <c r="I200" i="20" s="1"/>
  <c r="P128" i="19"/>
  <c r="P136" i="19" s="1"/>
  <c r="H56" i="9"/>
  <c r="C27" i="18" s="1"/>
  <c r="D38" i="9"/>
  <c r="D53" i="9" s="1"/>
  <c r="L142" i="19"/>
  <c r="D37" i="19"/>
  <c r="D160" i="19" s="1"/>
  <c r="M140" i="20"/>
  <c r="D37" i="20"/>
  <c r="M142" i="21"/>
  <c r="D37" i="21"/>
  <c r="R35" i="10"/>
  <c r="M43" i="10"/>
  <c r="R38" i="9"/>
  <c r="M53" i="9"/>
  <c r="R53" i="9" s="1"/>
  <c r="D142" i="10"/>
  <c r="D87" i="14"/>
  <c r="D83" i="14"/>
  <c r="D70" i="14"/>
  <c r="M40" i="14"/>
  <c r="R32" i="14"/>
  <c r="E86" i="14"/>
  <c r="E85" i="14"/>
  <c r="E88" i="14"/>
  <c r="M45" i="17"/>
  <c r="D136" i="21"/>
  <c r="G128" i="21"/>
  <c r="G136" i="21" s="1"/>
  <c r="G126" i="20"/>
  <c r="D134" i="20"/>
  <c r="G128" i="19"/>
  <c r="D136" i="19"/>
  <c r="S139" i="19" s="1"/>
  <c r="E167" i="19" l="1"/>
  <c r="M151" i="20"/>
  <c r="G146" i="20"/>
  <c r="G147" i="20" s="1"/>
  <c r="G149" i="20" s="1"/>
  <c r="G206" i="20"/>
  <c r="F206" i="20" s="1"/>
  <c r="I206" i="20" s="1"/>
  <c r="G200" i="20"/>
  <c r="D197" i="20"/>
  <c r="H137" i="20"/>
  <c r="G134" i="20"/>
  <c r="R128" i="19"/>
  <c r="M126" i="20"/>
  <c r="M135" i="20" s="1"/>
  <c r="I126" i="20"/>
  <c r="E87" i="14"/>
  <c r="D90" i="14"/>
  <c r="M77" i="14"/>
  <c r="M135" i="10"/>
  <c r="M137" i="17"/>
  <c r="E142" i="10"/>
  <c r="N149" i="19"/>
  <c r="N143" i="19"/>
  <c r="M152" i="19"/>
  <c r="N148" i="19"/>
  <c r="N142" i="19"/>
  <c r="N144" i="19"/>
  <c r="R33" i="4"/>
  <c r="P35" i="14"/>
  <c r="P38" i="14" s="1"/>
  <c r="P40" i="17"/>
  <c r="P43" i="17" s="1"/>
  <c r="P38" i="10"/>
  <c r="R38" i="10" s="1"/>
  <c r="P36" i="4"/>
  <c r="E33" i="4"/>
  <c r="I134" i="20" l="1"/>
  <c r="F137" i="20" s="1"/>
  <c r="G197" i="20"/>
  <c r="G137" i="20"/>
  <c r="H139" i="20"/>
  <c r="I139" i="20" s="1"/>
  <c r="I197" i="20" s="1"/>
  <c r="T128" i="19"/>
  <c r="V128" i="19" s="1"/>
  <c r="E38" i="10"/>
  <c r="E41" i="10" s="1"/>
  <c r="D33" i="4"/>
  <c r="D40" i="21" s="1"/>
  <c r="E40" i="20"/>
  <c r="E43" i="20" s="1"/>
  <c r="R38" i="14"/>
  <c r="P12" i="4"/>
  <c r="P41" i="10"/>
  <c r="E40" i="17"/>
  <c r="E43" i="17" s="1"/>
  <c r="R36" i="4"/>
  <c r="R35" i="14"/>
  <c r="E40" i="21"/>
  <c r="E43" i="21" s="1"/>
  <c r="E35" i="14"/>
  <c r="E38" i="14" s="1"/>
  <c r="E40" i="19"/>
  <c r="E43" i="19" s="1"/>
  <c r="E36" i="4"/>
  <c r="D35" i="14" l="1"/>
  <c r="D38" i="14" s="1"/>
  <c r="G79" i="4"/>
  <c r="C14" i="18" s="1"/>
  <c r="C33" i="18" s="1"/>
  <c r="D38" i="10"/>
  <c r="D41" i="10" s="1"/>
  <c r="D40" i="17"/>
  <c r="D43" i="17" s="1"/>
  <c r="D40" i="20"/>
  <c r="D36" i="4"/>
  <c r="D43" i="21"/>
  <c r="D40" i="19"/>
  <c r="D43" i="19" s="1"/>
  <c r="P17" i="10"/>
  <c r="P19" i="17"/>
  <c r="P14" i="14"/>
  <c r="E12" i="4"/>
  <c r="D12" i="4" s="1"/>
  <c r="R12" i="4"/>
  <c r="P19" i="4"/>
  <c r="R41" i="10"/>
  <c r="D43" i="20" l="1"/>
  <c r="F136" i="20"/>
  <c r="F142" i="20" s="1"/>
  <c r="D143" i="10"/>
  <c r="R19" i="4"/>
  <c r="E19" i="4"/>
  <c r="E38" i="4" s="1"/>
  <c r="E76" i="4" s="1"/>
  <c r="P38" i="4"/>
  <c r="E19" i="20"/>
  <c r="E26" i="20" s="1"/>
  <c r="E19" i="19"/>
  <c r="E26" i="19" s="1"/>
  <c r="E45" i="19" s="1"/>
  <c r="E19" i="21"/>
  <c r="E26" i="21" s="1"/>
  <c r="E14" i="14"/>
  <c r="E21" i="14" s="1"/>
  <c r="E40" i="14" s="1"/>
  <c r="E17" i="10"/>
  <c r="E24" i="10" s="1"/>
  <c r="E43" i="10" s="1"/>
  <c r="E19" i="17"/>
  <c r="E26" i="17" s="1"/>
  <c r="E45" i="17" s="1"/>
  <c r="P24" i="10"/>
  <c r="R17" i="10"/>
  <c r="P21" i="14"/>
  <c r="R14" i="14"/>
  <c r="R38" i="4" l="1"/>
  <c r="P76" i="4"/>
  <c r="R76" i="4" s="1"/>
  <c r="P45" i="17"/>
  <c r="R45" i="17" s="1"/>
  <c r="R21" i="14"/>
  <c r="P40" i="14"/>
  <c r="R24" i="10"/>
  <c r="P43" i="10"/>
  <c r="D19" i="20"/>
  <c r="J19" i="20" s="1"/>
  <c r="J37" i="20" s="1"/>
  <c r="D14" i="14"/>
  <c r="D21" i="14" s="1"/>
  <c r="D40" i="14" s="1"/>
  <c r="D77" i="14" s="1"/>
  <c r="D19" i="17"/>
  <c r="D26" i="17" s="1"/>
  <c r="D45" i="17" s="1"/>
  <c r="D137" i="17" s="1"/>
  <c r="D19" i="19"/>
  <c r="D158" i="19" s="1"/>
  <c r="D19" i="21"/>
  <c r="D17" i="10"/>
  <c r="D24" i="10" s="1"/>
  <c r="D19" i="4"/>
  <c r="E169" i="19" l="1"/>
  <c r="D161" i="19"/>
  <c r="R43" i="10"/>
  <c r="P135" i="10"/>
  <c r="R135" i="10" s="1"/>
  <c r="D145" i="10"/>
  <c r="D147" i="10" s="1"/>
  <c r="D149" i="10" s="1"/>
  <c r="D43" i="10"/>
  <c r="D135" i="10" s="1"/>
  <c r="R40" i="14"/>
  <c r="P77" i="14"/>
  <c r="R77" i="14" s="1"/>
  <c r="D26" i="19"/>
  <c r="D45" i="19" s="1"/>
  <c r="L145" i="19"/>
  <c r="P137" i="17"/>
  <c r="R137" i="17" s="1"/>
  <c r="G80" i="4"/>
  <c r="C15" i="18" s="1"/>
  <c r="C34" i="18" s="1"/>
  <c r="D38" i="4"/>
  <c r="D76" i="4" s="1"/>
  <c r="D26" i="21"/>
  <c r="D45" i="21" s="1"/>
  <c r="M145" i="21"/>
  <c r="M150" i="21" s="1"/>
  <c r="M151" i="21" s="1"/>
  <c r="D26" i="20"/>
  <c r="D45" i="20" s="1"/>
  <c r="M143" i="20"/>
  <c r="M147" i="20" l="1"/>
  <c r="M149" i="20" s="1"/>
  <c r="G141" i="20" s="1"/>
  <c r="G142" i="20" s="1"/>
  <c r="I142" i="20" s="1"/>
  <c r="C4" i="18"/>
  <c r="J144" i="20"/>
  <c r="E173" i="19"/>
  <c r="N145" i="19"/>
  <c r="L150" i="19"/>
  <c r="L151" i="19" s="1"/>
  <c r="M151" i="19" s="1"/>
  <c r="C38" i="18"/>
  <c r="C37" i="18"/>
  <c r="E174" i="19" l="1"/>
  <c r="F173" i="19" s="1"/>
  <c r="C39" i="18"/>
  <c r="F165" i="19" l="1"/>
  <c r="F171" i="19"/>
  <c r="F167" i="19"/>
  <c r="F174" i="19"/>
  <c r="F170" i="19"/>
  <c r="F172" i="19"/>
  <c r="F168" i="19"/>
  <c r="F169" i="19"/>
  <c r="G82" i="19"/>
  <c r="G91" i="19"/>
  <c r="G80" i="19" l="1"/>
  <c r="G136" i="19" s="1"/>
  <c r="F82" i="19"/>
  <c r="R80" i="19"/>
  <c r="F91" i="19" l="1"/>
  <c r="F80" i="19" s="1"/>
  <c r="E147" i="19"/>
  <c r="G139" i="19"/>
  <c r="P138" i="19"/>
  <c r="R136" i="19"/>
  <c r="W80" i="19"/>
  <c r="Q82" i="19"/>
  <c r="T82" i="19" s="1"/>
  <c r="V82" i="19" s="1"/>
  <c r="Q91" i="19" l="1"/>
  <c r="T91" i="19" s="1"/>
  <c r="V91" i="19" s="1"/>
  <c r="E148" i="19"/>
  <c r="E152" i="19" s="1"/>
  <c r="D155" i="19" s="1"/>
  <c r="Q80" i="19"/>
  <c r="F136" i="19"/>
  <c r="S138" i="19"/>
  <c r="T138" i="19" s="1"/>
  <c r="R139" i="19"/>
  <c r="S140" i="19" s="1"/>
  <c r="D157" i="19" l="1"/>
  <c r="F139" i="19"/>
  <c r="P137" i="19"/>
  <c r="L154" i="19"/>
  <c r="M154" i="19" s="1"/>
  <c r="G138" i="19"/>
  <c r="T80" i="19"/>
  <c r="Q136" i="19"/>
  <c r="T136" i="19" s="1"/>
  <c r="D162" i="19" l="1"/>
  <c r="Q139" i="19"/>
  <c r="V136" i="19"/>
  <c r="V80" i="19"/>
  <c r="E156" i="19" l="1"/>
  <c r="E159" i="19"/>
  <c r="E160" i="19"/>
  <c r="E158" i="19"/>
  <c r="E155" i="19"/>
  <c r="E157" i="19"/>
  <c r="E161" i="1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Jeannie Beckett</author>
  </authors>
  <commentList>
    <comment ref="G61" authorId="0" shapeId="0" xr:uid="{8746269E-BAB5-4622-BBF9-7DCA3B6A6BEC}">
      <text>
        <r>
          <rPr>
            <b/>
            <sz val="9"/>
            <color indexed="81"/>
            <rFont val="Tahoma"/>
            <family val="2"/>
          </rPr>
          <t>Jeannie Beckett:</t>
        </r>
        <r>
          <rPr>
            <sz val="9"/>
            <color indexed="81"/>
            <rFont val="Tahoma"/>
            <family val="2"/>
          </rPr>
          <t xml:space="preserve">
$500K BNSF +$1.5M remaining portion fo PWTf load</t>
        </r>
      </text>
    </comment>
    <comment ref="G82" authorId="0" shapeId="0" xr:uid="{C2D3D89F-1F23-4EB8-B9B4-BC07469EC6ED}">
      <text>
        <r>
          <rPr>
            <b/>
            <sz val="9"/>
            <color indexed="81"/>
            <rFont val="Tahoma"/>
            <family val="2"/>
          </rPr>
          <t>Jeannie Beckett:</t>
        </r>
        <r>
          <rPr>
            <sz val="9"/>
            <color indexed="81"/>
            <rFont val="Tahoma"/>
            <family val="2"/>
          </rPr>
          <t xml:space="preserve">
$11M City funds + $500K BNSF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Steve King</author>
    <author>Windows User</author>
    <author>Jeannie Beckett</author>
  </authors>
  <commentList>
    <comment ref="J12" authorId="0" shapeId="0" xr:uid="{B43620F3-059F-411E-AB5B-55E575D135CA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Est. $1m to keep project design going - while waiting for state funding - City $ to fund NEPA $ was allocated </t>
        </r>
      </text>
    </comment>
    <comment ref="D17" authorId="0" shapeId="0" xr:uid="{5A29BDCD-2274-4454-82B2-D10E2F37FCAE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Remaining portion of PWTf Loan</t>
        </r>
      </text>
    </comment>
    <comment ref="G17" authorId="1" shapeId="0" xr:uid="{00000000-0006-0000-0600-00000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CERB Righ of way purchase</t>
        </r>
      </text>
    </comment>
    <comment ref="H17" authorId="0" shapeId="0" xr:uid="{E1E0F928-8D64-4D02-A4F3-151396863C4B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PTWF Design $ - project 1804</t>
        </r>
      </text>
    </comment>
    <comment ref="I17" authorId="0" shapeId="0" xr:uid="{CC43490F-0693-45AE-8990-88488A005F48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PWTF Design $ project 1804</t>
        </r>
      </text>
    </comment>
    <comment ref="J17" authorId="0" shapeId="0" xr:uid="{6ECEC1F1-AE97-498B-B99A-AA082A4DB110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PWTF Loan for Miller Re-align.  Requires R</t>
        </r>
      </text>
    </comment>
    <comment ref="K17" authorId="0" shapeId="0" xr:uid="{8DDEFEC6-4EA4-4EB3-8C64-57849D224A6C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PTWF Loan for Miller Realign and Util
</t>
        </r>
      </text>
    </comment>
    <comment ref="L17" authorId="0" shapeId="0" xr:uid="{9ED4907E-A2D4-440F-993B-1EACE8FEEF25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PWTF Loan</t>
        </r>
      </text>
    </comment>
    <comment ref="G26" authorId="0" shapeId="0" xr:uid="{E49748E3-69D5-40F5-9CC4-B9189F6CF70B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Dept. of Commerce Grant for Early ROW Acq. For McK.
</t>
        </r>
      </text>
    </comment>
    <comment ref="F46" authorId="1" shapeId="0" xr:uid="{00000000-0006-0000-0600-000008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Form and Function
plus McK expenditures through 2017 + KPG predesign</t>
        </r>
      </text>
    </comment>
    <comment ref="G46" authorId="1" shapeId="0" xr:uid="{00000000-0006-0000-0600-000009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Connecting WA
Plus city funds spent on KPG Pre design less WSDOT reimbursement.  Connecting WA is the same as city reimbursement</t>
        </r>
      </text>
    </comment>
    <comment ref="H46" authorId="1" shapeId="0" xr:uid="{00000000-0006-0000-0600-00000A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Connecting WA
</t>
        </r>
      </text>
    </comment>
    <comment ref="I46" authorId="0" shapeId="0" xr:uid="{C419B888-40D5-46DA-A702-C6F77E2D5D70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Connect WA</t>
        </r>
      </text>
    </comment>
    <comment ref="C64" authorId="2" shapeId="0" xr:uid="{0D5E13F5-F99A-403E-BBA7-B3DCACBA950A}">
      <text>
        <r>
          <rPr>
            <b/>
            <sz val="9"/>
            <color indexed="81"/>
            <rFont val="Tahoma"/>
            <family val="2"/>
          </rPr>
          <t>Jeannie Beckett:</t>
        </r>
        <r>
          <rPr>
            <sz val="9"/>
            <color indexed="81"/>
            <rFont val="Tahoma"/>
            <family val="2"/>
          </rPr>
          <t xml:space="preserve">
The schedule of this project was incorrectly stated in BCA as starting in 2018, BCA has been updated to match this Document</t>
        </r>
      </text>
    </comment>
    <comment ref="F64" authorId="1" shapeId="0" xr:uid="{00000000-0006-0000-0600-00000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VE Study
</t>
        </r>
      </text>
    </comment>
    <comment ref="G115" authorId="0" shapeId="0" xr:uid="{2D5EF479-F6A9-4F5A-8910-BEAF5E5233BC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Form and Function Study + N. Wen Redev. Plan - 40k funded by CERB</t>
        </r>
      </text>
    </comment>
    <comment ref="I115" authorId="0" shapeId="0" xr:uid="{7712B7A5-E2D7-405D-B7E2-C49AA6C1DEB2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From City project 1804.  See end of year invoice for KPG 2019.  </t>
        </r>
      </text>
    </comment>
    <comment ref="J115" authorId="0" shapeId="0" xr:uid="{367AFDA1-E167-4A11-9229-1ED86CF009DD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Estimate to Complete KPG Contract under project 1804 for tasks 2 and 3
</t>
        </r>
      </text>
    </comment>
    <comment ref="H117" authorId="0" shapeId="0" xr:uid="{9E105D6A-B2D2-4D44-A7DA-A786AA7F33EE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Stemilt Right of Way - Early Acquisition - CERB Loan - $859k and Grant $113k and City balance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Steve King</author>
    <author>Jeannie Beckett</author>
  </authors>
  <commentList>
    <comment ref="H28" authorId="0" shapeId="0" xr:uid="{56103267-4A86-4822-8D14-71DCCB2B3929}">
      <text>
        <r>
          <rPr>
            <b/>
            <sz val="9"/>
            <color indexed="81"/>
            <rFont val="Tahoma"/>
            <family val="2"/>
          </rPr>
          <t xml:space="preserve">Steve King:
Wa St. NEPA Funds
</t>
        </r>
      </text>
    </comment>
    <comment ref="H46" authorId="0" shapeId="0" xr:uid="{54F24F46-0713-429A-8F3F-17FA3D6C279B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Est. of design put into the Miller underpass. Incl. Geotech
</t>
        </r>
      </text>
    </comment>
    <comment ref="I46" authorId="0" shapeId="0" xr:uid="{D07ED463-08CD-4604-BE5B-35C75F8E4217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Est. of design put into Miller - Wen. Ave intersection</t>
        </r>
      </text>
    </comment>
    <comment ref="I47" authorId="0" shapeId="0" xr:uid="{9D1452CA-D33F-4F5A-8060-A0B98B2D03C3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Included in KPG contract for NEPA
</t>
        </r>
      </text>
    </comment>
    <comment ref="H55" authorId="0" shapeId="0" xr:uid="{7509EA81-D761-422E-AED8-6D54B5585E6F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Amount of KPG Invoice invested on pre-design
</t>
        </r>
      </text>
    </comment>
    <comment ref="I55" authorId="0" shapeId="0" xr:uid="{19F23E56-B09D-4903-AEE9-C2E9D04B2C70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Estimate for 2020</t>
        </r>
      </text>
    </comment>
    <comment ref="H56" authorId="0" shapeId="0" xr:uid="{42705B4B-F403-42AE-9583-8C01E9BB51FC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Based on KPG Invoice for the end of 2019 for project 1804.  Confluence Parkway only Task 1 and 4</t>
        </r>
      </text>
    </comment>
    <comment ref="J65" authorId="1" shapeId="0" xr:uid="{041F7B3F-FE77-4B23-A5C6-F5B0FC9F05EC}">
      <text>
        <r>
          <rPr>
            <b/>
            <sz val="9"/>
            <color indexed="81"/>
            <rFont val="Tahoma"/>
            <family val="2"/>
          </rPr>
          <t>Jeannie Beckett:</t>
        </r>
        <r>
          <rPr>
            <sz val="9"/>
            <color indexed="81"/>
            <rFont val="Tahoma"/>
            <family val="2"/>
          </rPr>
          <t xml:space="preserve">
moved ped bridge PE out to 2022, added Second Bridge in 2024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Jeannie Beckett</author>
    <author>Steve King</author>
  </authors>
  <commentList>
    <comment ref="A43" authorId="0" shapeId="0" xr:uid="{109C9D16-B2B1-41C8-95D1-D4B84732728F}">
      <text>
        <r>
          <rPr>
            <b/>
            <sz val="9"/>
            <color indexed="81"/>
            <rFont val="Tahoma"/>
            <family val="2"/>
          </rPr>
          <t>Jeannie Beckett:</t>
        </r>
        <r>
          <rPr>
            <sz val="9"/>
            <color indexed="81"/>
            <rFont val="Tahoma"/>
            <family val="2"/>
          </rPr>
          <t xml:space="preserve">
FY21 Combined 3A and 3B into 1 project as WSDOT unfunded sub-project 3B and combined remaining funds into 3A</t>
        </r>
      </text>
    </comment>
    <comment ref="E55" authorId="1" shapeId="0" xr:uid="{ED30EF48-7328-45AB-A216-0E0B04F4E741}">
      <text>
        <r>
          <rPr>
            <b/>
            <sz val="9"/>
            <color indexed="81"/>
            <rFont val="Tahoma"/>
            <family val="2"/>
          </rPr>
          <t>Steve King:</t>
        </r>
        <r>
          <rPr>
            <sz val="9"/>
            <color indexed="81"/>
            <rFont val="Tahoma"/>
            <family val="2"/>
          </rPr>
          <t xml:space="preserve">
Cost Estimate and Aging provided by WSDOT.  Const. Eng. And Cont. est. by Sking</t>
        </r>
      </text>
    </comment>
    <comment ref="H55" authorId="0" shapeId="0" xr:uid="{9B72471C-003B-4D29-B0A0-B5C7D009035B}">
      <text>
        <r>
          <rPr>
            <b/>
            <sz val="9"/>
            <color indexed="81"/>
            <rFont val="Tahoma"/>
            <family val="2"/>
          </rPr>
          <t>Jeannie Beckett:</t>
        </r>
        <r>
          <rPr>
            <sz val="9"/>
            <color indexed="81"/>
            <rFont val="Tahoma"/>
            <family val="2"/>
          </rPr>
          <t xml:space="preserve">
WSDOT combined decided that 3B was not be constructed and moved remainder of funds to 3A yr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Jeannie Beckett</author>
    <author>Windows User</author>
  </authors>
  <commentList>
    <comment ref="C43" authorId="0" shapeId="0" xr:uid="{99F7BC0F-A110-4BEC-80AE-8BB481DD419D}">
      <text>
        <r>
          <rPr>
            <b/>
            <sz val="9"/>
            <color indexed="81"/>
            <rFont val="Tahoma"/>
            <family val="2"/>
          </rPr>
          <t>Jeannie Beckett:</t>
        </r>
        <r>
          <rPr>
            <sz val="9"/>
            <color indexed="81"/>
            <rFont val="Tahoma"/>
            <family val="2"/>
          </rPr>
          <t xml:space="preserve">
No change in FY 21 Cashflow</t>
        </r>
      </text>
    </comment>
    <comment ref="F45" authorId="1" shapeId="0" xr:uid="{00000000-0006-0000-09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includes ninth and 28 roundabout design of $200k</t>
        </r>
      </text>
    </comment>
    <comment ref="F46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EIS</t>
        </r>
      </text>
    </comment>
    <comment ref="F49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Ninth and 28 Roundabout
</t>
        </r>
      </text>
    </comment>
  </commentList>
</comments>
</file>

<file path=xl/sharedStrings.xml><?xml version="1.0" encoding="utf-8"?>
<sst xmlns="http://schemas.openxmlformats.org/spreadsheetml/2006/main" count="1331" uniqueCount="340">
  <si>
    <t>Pre-Match Invested</t>
  </si>
  <si>
    <t>Funding Sources</t>
  </si>
  <si>
    <t>Project Costs</t>
  </si>
  <si>
    <t>Source</t>
  </si>
  <si>
    <t>State</t>
  </si>
  <si>
    <t>Local</t>
  </si>
  <si>
    <t>City of Wenatchee</t>
  </si>
  <si>
    <t>Douglas County</t>
  </si>
  <si>
    <t>Link</t>
  </si>
  <si>
    <t>FMSIB</t>
  </si>
  <si>
    <t>Transit Grant</t>
  </si>
  <si>
    <t>Transportation Improvement Board</t>
  </si>
  <si>
    <t>BNSF</t>
  </si>
  <si>
    <t>Federal</t>
  </si>
  <si>
    <t>STP</t>
  </si>
  <si>
    <t>INFRA</t>
  </si>
  <si>
    <t>Chelan - Douglas Transportation Council</t>
  </si>
  <si>
    <t>State Subtotal</t>
  </si>
  <si>
    <t>Federal Subtotal</t>
  </si>
  <si>
    <t>Local Subtotal</t>
  </si>
  <si>
    <t>Preliminary Engineering</t>
  </si>
  <si>
    <t>Environmental-Permitting</t>
  </si>
  <si>
    <t>Right of Way</t>
  </si>
  <si>
    <t>Construction</t>
  </si>
  <si>
    <t>#1 North Wenatchee</t>
  </si>
  <si>
    <t>1B - McKittrick RR Underpass</t>
  </si>
  <si>
    <t>1A - North Wenatchee Avenue</t>
  </si>
  <si>
    <t>#2 Confluence Parkway</t>
  </si>
  <si>
    <t>2B - Confluence Parkway Phase 2 (Hawley St - North)</t>
  </si>
  <si>
    <t>2A - Miller Underpass and CP Phase 1 (Hawley St - South)</t>
  </si>
  <si>
    <t>Funding Source Grant Total</t>
  </si>
  <si>
    <t>Cost Grand Total</t>
  </si>
  <si>
    <t>Net Surplus (Defecit)</t>
  </si>
  <si>
    <t>Total By Phase</t>
  </si>
  <si>
    <t>Total By Source</t>
  </si>
  <si>
    <t>Connecting Washington Sunset Highway</t>
  </si>
  <si>
    <t>Connecting Washington North Wenatchee Avenue</t>
  </si>
  <si>
    <t>Construction Engineering</t>
  </si>
  <si>
    <t>CERB - Dept. of Commerce</t>
  </si>
  <si>
    <t>Contingency</t>
  </si>
  <si>
    <t>Contingency 10%</t>
  </si>
  <si>
    <t>Other</t>
  </si>
  <si>
    <t>1C - US2 Roundabout</t>
  </si>
  <si>
    <t>Match Summary</t>
  </si>
  <si>
    <t>Total Project Cost</t>
  </si>
  <si>
    <t>Total INFRA</t>
  </si>
  <si>
    <t>PE</t>
  </si>
  <si>
    <t>RW</t>
  </si>
  <si>
    <t>CN</t>
  </si>
  <si>
    <t>Total</t>
  </si>
  <si>
    <t>Minimum Timeline Requirements</t>
  </si>
  <si>
    <t>Legend</t>
  </si>
  <si>
    <t>#4 Sunset Highway</t>
  </si>
  <si>
    <t xml:space="preserve">3B - </t>
  </si>
  <si>
    <t>3A - Hwy Iterchange</t>
  </si>
  <si>
    <t>#3 Cascade Interchange</t>
  </si>
  <si>
    <t>Chelan Douglas Trasnportaiton Council</t>
  </si>
  <si>
    <t>US2 /SR 28 Roundabouts (35th and 38th)</t>
  </si>
  <si>
    <t>North Wenatchee Avenue  - Network Project #1</t>
  </si>
  <si>
    <t>PE and ROW</t>
  </si>
  <si>
    <t>Project Totals</t>
  </si>
  <si>
    <t>Confluence Parkway</t>
  </si>
  <si>
    <t>Cascade Interchange - Wenatchi Landing</t>
  </si>
  <si>
    <t>Sunset Highway</t>
  </si>
  <si>
    <t>Preliminary Engineering/Env.</t>
  </si>
  <si>
    <t>Apple Capital Loop Network of Project by Phase</t>
  </si>
  <si>
    <t>Total Project Contingency</t>
  </si>
  <si>
    <t>Summary of Apple Capital Loop Network of Projects</t>
  </si>
  <si>
    <t>Schedule for the Apple Capital Loop Network of Projects</t>
  </si>
  <si>
    <t>Sub-project</t>
  </si>
  <si>
    <t>Douglas Co./Port of Douglas Co.</t>
  </si>
  <si>
    <t>State of Washington - Other</t>
  </si>
  <si>
    <t>Total Infra</t>
  </si>
  <si>
    <t>Total Match</t>
  </si>
  <si>
    <t>State of Wasington - Other</t>
  </si>
  <si>
    <t>Total Match - Future Costs</t>
  </si>
  <si>
    <t>Total Previous Invested</t>
  </si>
  <si>
    <t>Previous Costs</t>
  </si>
  <si>
    <t>Eligible Future Costs and Sources</t>
  </si>
  <si>
    <t>Total Project</t>
  </si>
  <si>
    <t>Eligible Future</t>
  </si>
  <si>
    <t>Future Eligible</t>
  </si>
  <si>
    <t>2A - Miller Underpass and CP Phase 1 (Miller to Hawley)</t>
  </si>
  <si>
    <t>Total Eligible Match - Future Costs (non - Fed)</t>
  </si>
  <si>
    <t>Total Eligible Match - Future Costs (Federal)</t>
  </si>
  <si>
    <t>Total Eligible Match - Future Costs (Non-Fed)</t>
  </si>
  <si>
    <t>Total Match - Future Costs (Federal)</t>
  </si>
  <si>
    <t>#1 North Wenatchee Avenue and McKittrick</t>
  </si>
  <si>
    <t>Total INFRA Request</t>
  </si>
  <si>
    <t>Total Non Fed Match</t>
  </si>
  <si>
    <t>Total Fed Match</t>
  </si>
  <si>
    <t>Network Totals</t>
  </si>
  <si>
    <t>Future Eligible Costs Only</t>
  </si>
  <si>
    <t>Total of Match and INFRA</t>
  </si>
  <si>
    <t>Percentage Match</t>
  </si>
  <si>
    <t>See Map Below</t>
  </si>
  <si>
    <t>Note:  Estimate Data provided by Douglas County</t>
  </si>
  <si>
    <t xml:space="preserve">Includes City Match of </t>
  </si>
  <si>
    <t>Match Calculation Sheet - Baseline Option</t>
  </si>
  <si>
    <t>Match =&gt;</t>
  </si>
  <si>
    <t>&lt;= Pre-Match</t>
  </si>
  <si>
    <t>State of Washington - Requested</t>
  </si>
  <si>
    <t>Schedule based on contract date of (obligation):</t>
  </si>
  <si>
    <t>Construction Must Start before  (+ 18 Months)</t>
  </si>
  <si>
    <t>Match Starts Counting on</t>
  </si>
  <si>
    <t>Match counts at project award</t>
  </si>
  <si>
    <t xml:space="preserve">State of Washington - Other </t>
  </si>
  <si>
    <t>State of Washington  - Other</t>
  </si>
  <si>
    <t>Total Eligible Future Project Cost</t>
  </si>
  <si>
    <t>Total Eligible Future Fed Match</t>
  </si>
  <si>
    <t>Total Eligible Future Non-Fed Match</t>
  </si>
  <si>
    <t>Total Eligible Future Match</t>
  </si>
  <si>
    <t>Connecting Washington North Wenatchee Ave</t>
  </si>
  <si>
    <t>2B - Confluence Pkwy Phase 2 (Hawley St - N.)</t>
  </si>
  <si>
    <t>2A - Confluence Pkwy Phase 1 (Hawley St - S.)</t>
  </si>
  <si>
    <t>Project Costs, INFRA Request, and Match</t>
  </si>
  <si>
    <t>INFRA Request</t>
  </si>
  <si>
    <t>Match</t>
  </si>
  <si>
    <t>Schedule based on contract date (obligation):</t>
  </si>
  <si>
    <t>Funding Source</t>
  </si>
  <si>
    <t>Secured</t>
  </si>
  <si>
    <t>Requested</t>
  </si>
  <si>
    <t>Description</t>
  </si>
  <si>
    <t>Status</t>
  </si>
  <si>
    <t>State of WA (Connecting WA)</t>
  </si>
  <si>
    <t>Amount</t>
  </si>
  <si>
    <t>State of WA (Nickel Package)</t>
  </si>
  <si>
    <t>2003 Nickel Package State Gas Tax (5 cents)</t>
  </si>
  <si>
    <t>2015 Connecting Washington is State Gas Tax (11.9 cents)</t>
  </si>
  <si>
    <t>Includes city tax, public partnerships, state and local grants/loans</t>
  </si>
  <si>
    <t>State of Washington (2020)</t>
  </si>
  <si>
    <t>Surface Transportation Program</t>
  </si>
  <si>
    <t>Federal Funding already obligated</t>
  </si>
  <si>
    <t>Requested of the State Legislature</t>
  </si>
  <si>
    <t>Required 5% when replacing at-grade x-ing with grade separation</t>
  </si>
  <si>
    <t>Independent Utility Matrix - by Funding Source</t>
  </si>
  <si>
    <t>National Highway Freight Network</t>
  </si>
  <si>
    <t>National Highway System</t>
  </si>
  <si>
    <t>Rail-Highway Grade Separation</t>
  </si>
  <si>
    <t>Future Eligible Costs</t>
  </si>
  <si>
    <t>Notes</t>
  </si>
  <si>
    <t>North Wen. Ave SR 285 is both NHS and HNFN</t>
  </si>
  <si>
    <t>Project Costs by Classification Criteria</t>
  </si>
  <si>
    <t>Both HFHN and RR Separation</t>
  </si>
  <si>
    <t>Secured Match</t>
  </si>
  <si>
    <t>Requested Match</t>
  </si>
  <si>
    <t>Match Calc.</t>
  </si>
  <si>
    <t>Non-Federal Match</t>
  </si>
  <si>
    <t>Federal Match</t>
  </si>
  <si>
    <t>Total Federal</t>
  </si>
  <si>
    <t>Obligate in Nov. 2022 - Const in April 2024</t>
  </si>
  <si>
    <t>All Previous</t>
  </si>
  <si>
    <t>PWTF Loan and CERB Loan</t>
  </si>
  <si>
    <t>Segment 1A - Conecting Washington North Wenatchee Avenue</t>
  </si>
  <si>
    <t>Segment 1C -Conecting Washington - US 2 and Easy Street</t>
  </si>
  <si>
    <t>Segment 1B -McKittrick Signal Project</t>
  </si>
  <si>
    <t>Segment 1B - McKittrick  Median Project</t>
  </si>
  <si>
    <t>Segment 1B - McKittrick Underpass, Miller Roundabout, Miller Re-align</t>
  </si>
  <si>
    <t>Permitting</t>
  </si>
  <si>
    <t>design for confluence</t>
  </si>
  <si>
    <t>Environmental excluding design</t>
  </si>
  <si>
    <t>Check total</t>
  </si>
  <si>
    <t>Task 1</t>
  </si>
  <si>
    <t>Task 4</t>
  </si>
  <si>
    <t>Man Reserve</t>
  </si>
  <si>
    <t>N. Wen. For segment 2</t>
  </si>
  <si>
    <t>PWTF for N. Wen. For segment 2</t>
  </si>
  <si>
    <t>1B - McKittrick RR Underpass and McK./Wen. Signal</t>
  </si>
  <si>
    <t>1B - McKittrick RR Underpass &amp; McK./Wen. Signal</t>
  </si>
  <si>
    <t>CN Contract</t>
  </si>
  <si>
    <t>CN Eng</t>
  </si>
  <si>
    <t>Proj. Contigency</t>
  </si>
  <si>
    <t>Subtotal CN</t>
  </si>
  <si>
    <t>Segment 2A</t>
  </si>
  <si>
    <t>Segment 2B</t>
  </si>
  <si>
    <t>Other Local/State</t>
  </si>
  <si>
    <t>Link Transit</t>
  </si>
  <si>
    <t>State of Wasington - Requested</t>
  </si>
  <si>
    <t>Construction Incl. Contingency</t>
  </si>
  <si>
    <t>Link Transit Sales Tax</t>
  </si>
  <si>
    <t>CERB and PWTF State Loans</t>
  </si>
  <si>
    <t>CERB and PWTF State Loans to City</t>
  </si>
  <si>
    <t>ROW</t>
  </si>
  <si>
    <t xml:space="preserve">INFRA request </t>
  </si>
  <si>
    <t xml:space="preserve">CWA North Wenatchee Avenue </t>
  </si>
  <si>
    <t xml:space="preserve">CWA Sunset Highway </t>
  </si>
  <si>
    <r>
      <t>   </t>
    </r>
    <r>
      <rPr>
        <sz val="11"/>
        <color rgb="FF000000"/>
        <rFont val="Calibri"/>
        <family val="2"/>
      </rPr>
      <t xml:space="preserve">Inductive Electric Transit Coaches + Increased Frequency </t>
    </r>
  </si>
  <si>
    <t xml:space="preserve">BNSF Contribution to Miller Grade Separation </t>
  </si>
  <si>
    <t xml:space="preserve">City Match - final increment of NEPA </t>
  </si>
  <si>
    <t xml:space="preserve">Total Match </t>
  </si>
  <si>
    <t xml:space="preserve">Total Cost </t>
  </si>
  <si>
    <t>3B - US2 /SR 28 Roundabouts (35th and 38th)</t>
  </si>
  <si>
    <t xml:space="preserve">FY21 increased contingency </t>
  </si>
  <si>
    <t>Added contingency FY21</t>
  </si>
  <si>
    <t>FY 21 Total Cost</t>
  </si>
  <si>
    <t>1. There is 15 % Contingency is Opinion of Probable Costs for CN</t>
  </si>
  <si>
    <t>2. And an Additional 10% Contingency added here to for a Total Contigency of 25%</t>
  </si>
  <si>
    <t xml:space="preserve"> M w</t>
  </si>
  <si>
    <t>3. Added additional Contigency of $7M between 2A and 2B in FY21 as safe guard</t>
  </si>
  <si>
    <t>*</t>
  </si>
  <si>
    <t>Funding has been requested in Forward WA Bill</t>
  </si>
  <si>
    <t xml:space="preserve">Contingency </t>
  </si>
  <si>
    <t>3A - US 2 Interchange</t>
  </si>
  <si>
    <t>3B - SR 28 and 35th Roundabout</t>
  </si>
  <si>
    <t>Additional contingency</t>
  </si>
  <si>
    <t>Total Contingency</t>
  </si>
  <si>
    <t>OPC-C</t>
  </si>
  <si>
    <t>Proj contingency</t>
  </si>
  <si>
    <t xml:space="preserve">Local funding before State Request </t>
  </si>
  <si>
    <t>Full package</t>
  </si>
  <si>
    <t>Full Project</t>
  </si>
  <si>
    <t xml:space="preserve">Local Match </t>
  </si>
  <si>
    <t>Variance</t>
  </si>
  <si>
    <t>Local Secured</t>
  </si>
  <si>
    <t>State Request</t>
  </si>
  <si>
    <t>#2 Confluenence Parkway</t>
  </si>
  <si>
    <t xml:space="preserve">Future eligible </t>
  </si>
  <si>
    <t>Remaining portion of PWTf Loan</t>
  </si>
  <si>
    <t>2A  &amp; 2B Confluence Parkway</t>
  </si>
  <si>
    <t>Requested of the State Legislature in Forward WA Transpo Plan</t>
  </si>
  <si>
    <t>Total By Phase 2018-2027</t>
  </si>
  <si>
    <t>Added Contingency in addition to contingency in construction est.</t>
  </si>
  <si>
    <t>Added Contingency om top of engineer's cost estimate</t>
  </si>
  <si>
    <t>Aditional Contingency as Percentage of Construction</t>
  </si>
  <si>
    <t>Total By Source
 2018-2027</t>
  </si>
  <si>
    <t>Total By Source
2018-2027</t>
  </si>
  <si>
    <t>Segment (Subproject)</t>
  </si>
  <si>
    <t>Responsible Agency</t>
  </si>
  <si>
    <t>Segment 1A – N. Wen. Ave.</t>
  </si>
  <si>
    <t>WSDOT</t>
  </si>
  <si>
    <t>Segment 1B – McKittrick Underpass</t>
  </si>
  <si>
    <t>Segment 1C – US 2 Roundabout</t>
  </si>
  <si>
    <t>Segment 2A – Confluence Pkwy South</t>
  </si>
  <si>
    <t>Segment 2B – Confluence Pkwy North</t>
  </si>
  <si>
    <t>Segment 3 – Cascade Interchange</t>
  </si>
  <si>
    <t>Project Total
Future Eligible Costs</t>
  </si>
  <si>
    <t>In $ Millions</t>
  </si>
  <si>
    <t>%</t>
  </si>
  <si>
    <t>City of Wenatchee/Local</t>
  </si>
  <si>
    <t>State of WA</t>
  </si>
  <si>
    <t>Total Non-Federal  Match</t>
  </si>
  <si>
    <t>Total Funding</t>
  </si>
  <si>
    <t>Match Sources</t>
  </si>
  <si>
    <t>Local:</t>
  </si>
  <si>
    <t>WSDOT Secured</t>
  </si>
  <si>
    <t>Private</t>
  </si>
  <si>
    <t>Required</t>
  </si>
  <si>
    <t>Other Local (Loans)</t>
  </si>
  <si>
    <t>Total Local</t>
  </si>
  <si>
    <t>Total Match Funding</t>
  </si>
  <si>
    <t>City Spent</t>
  </si>
  <si>
    <t>Segment: </t>
  </si>
  <si>
    <t>1A </t>
  </si>
  <si>
    <t>1B </t>
  </si>
  <si>
    <t>1C </t>
  </si>
  <si>
    <t>2A </t>
  </si>
  <si>
    <t>2B </t>
  </si>
  <si>
    <t>2C </t>
  </si>
  <si>
    <t>3 </t>
  </si>
  <si>
    <t>4 </t>
  </si>
  <si>
    <t>Planning Complete </t>
  </si>
  <si>
    <r>
      <t>ü</t>
    </r>
    <r>
      <rPr>
        <sz val="10"/>
        <color theme="1"/>
        <rFont val="Calibri"/>
        <family val="2"/>
        <scheme val="minor"/>
      </rPr>
      <t> </t>
    </r>
  </si>
  <si>
    <t>Environmental Review </t>
  </si>
  <si>
    <t>CE 7/21 </t>
  </si>
  <si>
    <t>EA 3/22 </t>
  </si>
  <si>
    <r>
      <t>EIS</t>
    </r>
    <r>
      <rPr>
        <sz val="10"/>
        <color rgb="FF000000"/>
        <rFont val="Wingdings"/>
        <charset val="2"/>
      </rPr>
      <t>ü</t>
    </r>
    <r>
      <rPr>
        <sz val="9"/>
        <color theme="1"/>
        <rFont val="Calibri"/>
        <family val="2"/>
        <scheme val="minor"/>
      </rPr>
      <t> </t>
    </r>
  </si>
  <si>
    <r>
      <t xml:space="preserve">Preliminary Engineering </t>
    </r>
    <r>
      <rPr>
        <sz val="7"/>
        <color theme="1"/>
        <rFont val="Calibri"/>
        <family val="2"/>
        <scheme val="minor"/>
      </rPr>
      <t>(% complete)</t>
    </r>
    <r>
      <rPr>
        <sz val="10"/>
        <color theme="1"/>
        <rFont val="Calibri"/>
        <family val="2"/>
        <scheme val="minor"/>
      </rPr>
      <t> </t>
    </r>
  </si>
  <si>
    <t>10% </t>
  </si>
  <si>
    <t>20% </t>
  </si>
  <si>
    <t>30% </t>
  </si>
  <si>
    <t>Right-of-Way Complete </t>
  </si>
  <si>
    <t>12/22 </t>
  </si>
  <si>
    <r>
      <t>ü</t>
    </r>
    <r>
      <rPr>
        <sz val="9"/>
        <color theme="1"/>
        <rFont val="Calibri"/>
        <family val="2"/>
        <scheme val="minor"/>
      </rPr>
      <t> </t>
    </r>
  </si>
  <si>
    <t>12/21 </t>
  </si>
  <si>
    <t>1/24 </t>
  </si>
  <si>
    <r>
      <t>1/24</t>
    </r>
    <r>
      <rPr>
        <sz val="9"/>
        <color theme="1"/>
        <rFont val="Calibri"/>
        <family val="2"/>
        <scheme val="minor"/>
      </rPr>
      <t> </t>
    </r>
  </si>
  <si>
    <t>12/25 </t>
  </si>
  <si>
    <r>
      <t xml:space="preserve">Construction Start Date </t>
    </r>
    <r>
      <rPr>
        <sz val="7"/>
        <color theme="1"/>
        <rFont val="Calibri"/>
        <family val="2"/>
        <scheme val="minor"/>
      </rPr>
      <t>(quarter)</t>
    </r>
    <r>
      <rPr>
        <sz val="10"/>
        <color theme="1"/>
        <rFont val="Calibri"/>
        <family val="2"/>
        <scheme val="minor"/>
      </rPr>
      <t> </t>
    </r>
  </si>
  <si>
    <t>Q2 ‘23 </t>
  </si>
  <si>
    <t>Q1 ‘24 </t>
  </si>
  <si>
    <t>Q4 ‘21 </t>
  </si>
  <si>
    <t>Q3 ‘24 </t>
  </si>
  <si>
    <t>Q2 ‘24 </t>
  </si>
  <si>
    <t>Q4 ‘24 </t>
  </si>
  <si>
    <r>
      <t xml:space="preserve">Construction End Date </t>
    </r>
    <r>
      <rPr>
        <sz val="7"/>
        <color theme="1"/>
        <rFont val="Calibri"/>
        <family val="2"/>
        <scheme val="minor"/>
      </rPr>
      <t>(quarter)</t>
    </r>
    <r>
      <rPr>
        <sz val="10"/>
        <color theme="1"/>
        <rFont val="Calibri"/>
        <family val="2"/>
        <scheme val="minor"/>
      </rPr>
      <t> </t>
    </r>
  </si>
  <si>
    <t>Q4 ‘27 </t>
  </si>
  <si>
    <t>Q4 ‘26</t>
  </si>
  <si>
    <t>Q4 ‘23 </t>
  </si>
  <si>
    <t>Q4 ‘26 </t>
  </si>
  <si>
    <t>Q1 ‘25 </t>
  </si>
  <si>
    <t>2C - South End Bike/Ped Access Bridge</t>
  </si>
  <si>
    <t>#4 Sunset Highway/SR28 Widening</t>
  </si>
  <si>
    <t>Segment 4 – Sunset Hwy / SR 28 Widening</t>
  </si>
  <si>
    <t>Segment 2C – South End Bike/ Ped Access Bridge</t>
  </si>
  <si>
    <t>2C - South End Bike/ Ped Access Bridge</t>
  </si>
  <si>
    <t>#4 Sunset Highway/ SR28 Widening</t>
  </si>
  <si>
    <t>2C - South End Bike/ Ped  Access Bridge</t>
  </si>
  <si>
    <t>#2C South End Bike/ Ped Access Bridge</t>
  </si>
  <si>
    <t>#4 Sunset Highway / SR28 Widening</t>
  </si>
  <si>
    <t>Project Cost Components</t>
  </si>
  <si>
    <r>
      <t> </t>
    </r>
    <r>
      <rPr>
        <b/>
        <sz val="10"/>
        <color rgb="FF000000"/>
        <rFont val="Calibri"/>
        <family val="2"/>
        <scheme val="minor"/>
      </rPr>
      <t xml:space="preserve">Cost </t>
    </r>
    <r>
      <rPr>
        <sz val="10"/>
        <color rgb="FF000000"/>
        <rFont val="Calibri"/>
        <family val="2"/>
        <scheme val="minor"/>
      </rPr>
      <t>(in millions)</t>
    </r>
  </si>
  <si>
    <t> Percent</t>
  </si>
  <si>
    <t>Construction (Incl. Const. Engineering and 15% contingency on Eng. Est.)</t>
  </si>
  <si>
    <r>
      <t>Additional Contingency</t>
    </r>
    <r>
      <rPr>
        <vertAlign val="superscript"/>
        <sz val="10"/>
        <color rgb="FF000000"/>
        <rFont val="Calibri"/>
        <family val="2"/>
        <scheme val="minor"/>
      </rPr>
      <t>1</t>
    </r>
  </si>
  <si>
    <r>
      <t xml:space="preserve">1 </t>
    </r>
    <r>
      <rPr>
        <i/>
        <sz val="10"/>
        <color rgb="FF000000"/>
        <rFont val="Calibri"/>
        <family val="2"/>
        <scheme val="minor"/>
      </rPr>
      <t>Additional Contingency added onto Construction Estimate. Total Contingency averages 25-30% of Construction costs</t>
    </r>
  </si>
  <si>
    <t>Q3 ‘23</t>
  </si>
  <si>
    <t>Updated schedule - best guess 3/13/21</t>
  </si>
  <si>
    <t>Cashflow is close but does not exactly match this new best guess schedule.</t>
  </si>
  <si>
    <t>Contintues to show all projects complete by Q4 27</t>
  </si>
  <si>
    <t>CE 6/22 </t>
  </si>
  <si>
    <t>if Cascade Hwy EA complete by 3/22 then Obligation can later in 2022 or early 2023.  Construction can then begin within 18 months.</t>
  </si>
  <si>
    <t>Project Phasing Funding Options ( Partical Funding Options</t>
  </si>
  <si>
    <t>Funding Group</t>
  </si>
  <si>
    <t>Component Description</t>
  </si>
  <si>
    <t>BCA</t>
  </si>
  <si>
    <t>A</t>
  </si>
  <si>
    <t>Apple Capital Loop Network of Project Components</t>
  </si>
  <si>
    <t>Non-Fed Match</t>
  </si>
  <si>
    <t xml:space="preserve">Exhibit A – Current Version </t>
  </si>
  <si>
    <t>Project Segments</t>
  </si>
  <si>
    <t>#1 SR 285/North Wenatchee Ave</t>
  </si>
  <si>
    <t>1A–North Wenatchee Avenue</t>
  </si>
  <si>
    <t>1B–McKittrick/BNSF Underpass</t>
  </si>
  <si>
    <t>1C–US 2/Easy St Roundabout</t>
  </si>
  <si>
    <t>2A–Confluence Pkwy South</t>
  </si>
  <si>
    <t>2B–Confluence Pkwy North</t>
  </si>
  <si>
    <t>2C–South End Ped Access</t>
  </si>
  <si>
    <t>#4 SR 28 / Sunset Highway</t>
  </si>
  <si>
    <t>Exhibit A – Modified Requested Match Allocation</t>
  </si>
  <si>
    <t>2A</t>
  </si>
  <si>
    <t>2B</t>
  </si>
  <si>
    <t>Seg 1, 2A, 2C and 4</t>
  </si>
  <si>
    <t xml:space="preserve">B: </t>
  </si>
  <si>
    <t>C</t>
  </si>
  <si>
    <t>Build 1A, 1C, 2A, 2C and 4</t>
  </si>
  <si>
    <t>All Segments</t>
  </si>
  <si>
    <t>#1: No. Wenatchee Ave, 
#2A: Confluence Parkway South,
#2C: South End Bike/ Ped Access Connector and
#4: Sunset Highway/ SR28 Widening</t>
  </si>
  <si>
    <t>#1A: North Wenatchee Avenue
#1C: US 2/Easy St Roundabout
#2A: Confluence Parkway South,
#2C: South End Bike/ Ped Access Connector and
#4:Sunset Highway/ SR28 Widening</t>
  </si>
  <si>
    <t>#1A: North Wenatchee Avenue
#1B: McKittrick/BNSF Underpass
#1C: US 2/Easy St Roundabout
#2C: South End Bike/ Ped Access Bridge and
#4 Sunset Highway</t>
  </si>
  <si>
    <t>Build 1A, 1B,1C, 2C and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</si>
</sst>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0.0%"/>
    <numFmt numFmtId="166" formatCode="&quot;$&quot;#,##0.00"/>
    <numFmt numFmtId="167" formatCode="&quot;$&quot;#,##0"/>
    <numFmt numFmtId="168" formatCode="_(&quot;$&quot;* #,##0_);_(&quot;$&quot;* \(#,##0\);_(&quot;$&quot;* &quot;-&quot;?_);_(@_)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9" tint="0.59999389629810485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8"/>
      <color rgb="FF333333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u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trike/>
      <sz val="11"/>
      <color theme="1"/>
      <name val="Calibri"/>
      <family val="2"/>
      <scheme val="minor"/>
    </font>
    <font>
      <i/>
      <strike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trike/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Wingdings"/>
      <charset val="2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vertAlign val="superscript"/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7E5E5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BD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double">
        <color auto="1"/>
      </left>
      <right/>
      <top/>
      <bottom style="double">
        <color indexed="64"/>
      </bottom>
      <diagonal/>
    </border>
    <border>
      <left/>
      <right style="double">
        <color auto="1"/>
      </right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/>
      <bottom style="medium">
        <color rgb="FFC0C0C0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88">
    <xf numFmtId="0" fontId="0" fillId="0" borderId="0" xfId="0"/>
    <xf numFmtId="14" fontId="0" fillId="0" borderId="0" xfId="0" applyNumberFormat="1"/>
    <xf numFmtId="0" fontId="2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horizontal="center" wrapText="1"/>
    </xf>
    <xf numFmtId="164" fontId="3" fillId="2" borderId="0" xfId="1" applyNumberFormat="1" applyFont="1" applyFill="1" applyAlignment="1">
      <alignment horizontal="center" wrapText="1"/>
    </xf>
    <xf numFmtId="164" fontId="0" fillId="0" borderId="0" xfId="1" applyNumberFormat="1" applyFont="1" applyAlignment="1">
      <alignment horizontal="center" wrapText="1"/>
    </xf>
    <xf numFmtId="164" fontId="3" fillId="2" borderId="0" xfId="1" applyNumberFormat="1" applyFont="1" applyFill="1"/>
    <xf numFmtId="164" fontId="0" fillId="0" borderId="0" xfId="1" applyNumberFormat="1" applyFont="1"/>
    <xf numFmtId="164" fontId="3" fillId="2" borderId="1" xfId="1" applyNumberFormat="1" applyFont="1" applyFill="1" applyBorder="1"/>
    <xf numFmtId="0" fontId="0" fillId="0" borderId="0" xfId="0" applyAlignment="1">
      <alignment horizontal="centerContinuous"/>
    </xf>
    <xf numFmtId="164" fontId="3" fillId="0" borderId="0" xfId="1" applyNumberFormat="1" applyFont="1" applyFill="1"/>
    <xf numFmtId="0" fontId="3" fillId="0" borderId="0" xfId="0" applyFont="1" applyFill="1" applyAlignment="1">
      <alignment horizontal="centerContinuous"/>
    </xf>
    <xf numFmtId="0" fontId="5" fillId="0" borderId="0" xfId="0" applyFont="1"/>
    <xf numFmtId="0" fontId="0" fillId="0" borderId="0" xfId="0" applyFont="1"/>
    <xf numFmtId="0" fontId="0" fillId="0" borderId="2" xfId="0" applyBorder="1"/>
    <xf numFmtId="164" fontId="6" fillId="2" borderId="0" xfId="1" applyNumberFormat="1" applyFont="1" applyFill="1"/>
    <xf numFmtId="164" fontId="6" fillId="0" borderId="0" xfId="1" applyNumberFormat="1" applyFont="1" applyFill="1"/>
    <xf numFmtId="164" fontId="7" fillId="0" borderId="0" xfId="1" applyNumberFormat="1" applyFont="1"/>
    <xf numFmtId="164" fontId="6" fillId="0" borderId="2" xfId="1" applyNumberFormat="1" applyFont="1" applyFill="1" applyBorder="1"/>
    <xf numFmtId="0" fontId="3" fillId="0" borderId="1" xfId="0" applyFont="1" applyFill="1" applyBorder="1" applyAlignment="1">
      <alignment horizontal="center" wrapText="1"/>
    </xf>
    <xf numFmtId="164" fontId="3" fillId="3" borderId="0" xfId="1" applyNumberFormat="1" applyFont="1" applyFill="1"/>
    <xf numFmtId="0" fontId="0" fillId="0" borderId="4" xfId="0" applyBorder="1" applyAlignment="1">
      <alignment horizontal="center" wrapText="1"/>
    </xf>
    <xf numFmtId="164" fontId="0" fillId="0" borderId="3" xfId="1" applyNumberFormat="1" applyFont="1" applyBorder="1" applyAlignment="1">
      <alignment horizontal="center" wrapText="1"/>
    </xf>
    <xf numFmtId="164" fontId="0" fillId="0" borderId="3" xfId="1" applyNumberFormat="1" applyFont="1" applyBorder="1"/>
    <xf numFmtId="0" fontId="0" fillId="0" borderId="3" xfId="0" applyBorder="1" applyAlignment="1">
      <alignment horizontal="centerContinuous"/>
    </xf>
    <xf numFmtId="0" fontId="0" fillId="0" borderId="3" xfId="0" applyBorder="1"/>
    <xf numFmtId="164" fontId="3" fillId="0" borderId="0" xfId="1" applyNumberFormat="1" applyFont="1" applyFill="1" applyBorder="1"/>
    <xf numFmtId="164" fontId="0" fillId="0" borderId="0" xfId="1" applyNumberFormat="1" applyFont="1" applyBorder="1"/>
    <xf numFmtId="164" fontId="0" fillId="0" borderId="3" xfId="0" applyNumberFormat="1" applyBorder="1"/>
    <xf numFmtId="164" fontId="0" fillId="0" borderId="5" xfId="0" applyNumberFormat="1" applyBorder="1"/>
    <xf numFmtId="0" fontId="8" fillId="0" borderId="0" xfId="0" applyFont="1" applyAlignment="1">
      <alignment horizontal="centerContinuous"/>
    </xf>
    <xf numFmtId="164" fontId="3" fillId="0" borderId="0" xfId="1" applyNumberFormat="1" applyFont="1"/>
    <xf numFmtId="164" fontId="6" fillId="0" borderId="5" xfId="1" applyNumberFormat="1" applyFont="1" applyFill="1" applyBorder="1"/>
    <xf numFmtId="164" fontId="4" fillId="0" borderId="0" xfId="0" applyNumberFormat="1" applyFont="1"/>
    <xf numFmtId="165" fontId="4" fillId="0" borderId="0" xfId="2" applyNumberFormat="1" applyFont="1"/>
    <xf numFmtId="164" fontId="0" fillId="0" borderId="0" xfId="0" applyNumberFormat="1" applyFont="1"/>
    <xf numFmtId="165" fontId="0" fillId="0" borderId="0" xfId="2" applyNumberFormat="1" applyFont="1"/>
    <xf numFmtId="0" fontId="0" fillId="0" borderId="1" xfId="0" applyBorder="1"/>
    <xf numFmtId="164" fontId="11" fillId="2" borderId="0" xfId="1" applyNumberFormat="1" applyFont="1" applyFill="1"/>
    <xf numFmtId="164" fontId="12" fillId="2" borderId="0" xfId="1" applyNumberFormat="1" applyFont="1" applyFill="1"/>
    <xf numFmtId="164" fontId="0" fillId="0" borderId="6" xfId="1" applyNumberFormat="1" applyFont="1" applyBorder="1"/>
    <xf numFmtId="164" fontId="0" fillId="5" borderId="0" xfId="1" applyNumberFormat="1" applyFont="1" applyFill="1" applyBorder="1"/>
    <xf numFmtId="0" fontId="0" fillId="0" borderId="0" xfId="0" applyBorder="1"/>
    <xf numFmtId="3" fontId="0" fillId="0" borderId="0" xfId="0" applyNumberFormat="1" applyBorder="1"/>
    <xf numFmtId="3" fontId="0" fillId="0" borderId="0" xfId="1" applyNumberFormat="1" applyFont="1" applyBorder="1"/>
    <xf numFmtId="3" fontId="0" fillId="0" borderId="6" xfId="1" applyNumberFormat="1" applyFont="1" applyBorder="1"/>
    <xf numFmtId="164" fontId="0" fillId="0" borderId="3" xfId="1" applyNumberFormat="1" applyFont="1" applyFill="1" applyBorder="1"/>
    <xf numFmtId="164" fontId="3" fillId="0" borderId="3" xfId="1" applyNumberFormat="1" applyFont="1" applyFill="1" applyBorder="1"/>
    <xf numFmtId="0" fontId="13" fillId="6" borderId="7" xfId="0" applyFont="1" applyFill="1" applyBorder="1" applyAlignment="1">
      <alignment horizontal="left" vertical="top"/>
    </xf>
    <xf numFmtId="3" fontId="0" fillId="0" borderId="0" xfId="0" applyNumberFormat="1"/>
    <xf numFmtId="0" fontId="13" fillId="6" borderId="8" xfId="0" applyFont="1" applyFill="1" applyBorder="1" applyAlignment="1">
      <alignment horizontal="left" vertical="top"/>
    </xf>
    <xf numFmtId="0" fontId="13" fillId="6" borderId="0" xfId="0" applyFont="1" applyFill="1" applyBorder="1" applyAlignment="1">
      <alignment horizontal="left" vertical="top"/>
    </xf>
    <xf numFmtId="164" fontId="0" fillId="0" borderId="0" xfId="1" applyNumberFormat="1" applyFont="1" applyFill="1" applyBorder="1"/>
    <xf numFmtId="164" fontId="0" fillId="0" borderId="6" xfId="1" applyNumberFormat="1" applyFont="1" applyFill="1" applyBorder="1"/>
    <xf numFmtId="164" fontId="3" fillId="0" borderId="6" xfId="1" applyNumberFormat="1" applyFont="1" applyFill="1" applyBorder="1"/>
    <xf numFmtId="164" fontId="0" fillId="7" borderId="0" xfId="1" applyNumberFormat="1" applyFont="1" applyFill="1" applyBorder="1"/>
    <xf numFmtId="164" fontId="0" fillId="7" borderId="6" xfId="1" applyNumberFormat="1" applyFont="1" applyFill="1" applyBorder="1"/>
    <xf numFmtId="164" fontId="2" fillId="0" borderId="3" xfId="0" applyNumberFormat="1" applyFont="1" applyBorder="1"/>
    <xf numFmtId="164" fontId="2" fillId="5" borderId="0" xfId="1" applyNumberFormat="1" applyFont="1" applyFill="1" applyBorder="1"/>
    <xf numFmtId="164" fontId="2" fillId="0" borderId="0" xfId="1" applyNumberFormat="1" applyFont="1" applyBorder="1"/>
    <xf numFmtId="0" fontId="0" fillId="7" borderId="0" xfId="0" applyFill="1"/>
    <xf numFmtId="164" fontId="0" fillId="0" borderId="0" xfId="0" applyNumberFormat="1"/>
    <xf numFmtId="164" fontId="0" fillId="0" borderId="1" xfId="1" applyNumberFormat="1" applyFont="1" applyBorder="1"/>
    <xf numFmtId="164" fontId="0" fillId="0" borderId="9" xfId="1" applyNumberFormat="1" applyFont="1" applyBorder="1"/>
    <xf numFmtId="164" fontId="11" fillId="0" borderId="3" xfId="1" applyNumberFormat="1" applyFont="1" applyFill="1" applyBorder="1"/>
    <xf numFmtId="164" fontId="11" fillId="0" borderId="0" xfId="1" applyNumberFormat="1" applyFont="1" applyFill="1" applyBorder="1"/>
    <xf numFmtId="164" fontId="11" fillId="0" borderId="6" xfId="1" applyNumberFormat="1" applyFont="1" applyFill="1" applyBorder="1"/>
    <xf numFmtId="164" fontId="0" fillId="0" borderId="11" xfId="1" applyNumberFormat="1" applyFont="1" applyBorder="1"/>
    <xf numFmtId="164" fontId="0" fillId="0" borderId="12" xfId="1" applyNumberFormat="1" applyFont="1" applyBorder="1"/>
    <xf numFmtId="0" fontId="0" fillId="0" borderId="0" xfId="0" applyFill="1"/>
    <xf numFmtId="164" fontId="3" fillId="0" borderId="11" xfId="1" applyNumberFormat="1" applyFont="1" applyFill="1" applyBorder="1"/>
    <xf numFmtId="164" fontId="3" fillId="0" borderId="12" xfId="1" applyNumberFormat="1" applyFont="1" applyFill="1" applyBorder="1"/>
    <xf numFmtId="164" fontId="0" fillId="0" borderId="1" xfId="1" applyNumberFormat="1" applyFont="1" applyFill="1" applyBorder="1"/>
    <xf numFmtId="164" fontId="0" fillId="0" borderId="9" xfId="1" applyNumberFormat="1" applyFont="1" applyFill="1" applyBorder="1"/>
    <xf numFmtId="0" fontId="8" fillId="0" borderId="0" xfId="0" applyFont="1" applyAlignment="1">
      <alignment horizontal="left"/>
    </xf>
    <xf numFmtId="14" fontId="0" fillId="4" borderId="0" xfId="0" applyNumberFormat="1" applyFill="1"/>
    <xf numFmtId="0" fontId="0" fillId="0" borderId="1" xfId="0" applyFont="1" applyBorder="1"/>
    <xf numFmtId="164" fontId="6" fillId="0" borderId="3" xfId="1" applyNumberFormat="1" applyFont="1" applyFill="1" applyBorder="1"/>
    <xf numFmtId="164" fontId="6" fillId="0" borderId="0" xfId="1" applyNumberFormat="1" applyFont="1" applyFill="1" applyBorder="1"/>
    <xf numFmtId="164" fontId="6" fillId="0" borderId="6" xfId="1" applyNumberFormat="1" applyFont="1" applyFill="1" applyBorder="1"/>
    <xf numFmtId="164" fontId="6" fillId="2" borderId="2" xfId="1" applyNumberFormat="1" applyFont="1" applyFill="1" applyBorder="1"/>
    <xf numFmtId="164" fontId="0" fillId="0" borderId="2" xfId="1" applyNumberFormat="1" applyFont="1" applyBorder="1"/>
    <xf numFmtId="164" fontId="11" fillId="0" borderId="0" xfId="1" applyNumberFormat="1" applyFont="1" applyFill="1"/>
    <xf numFmtId="164" fontId="12" fillId="0" borderId="2" xfId="1" applyNumberFormat="1" applyFont="1" applyFill="1" applyBorder="1"/>
    <xf numFmtId="164" fontId="4" fillId="0" borderId="0" xfId="1" applyNumberFormat="1" applyFont="1"/>
    <xf numFmtId="14" fontId="0" fillId="8" borderId="0" xfId="0" applyNumberFormat="1" applyFill="1"/>
    <xf numFmtId="164" fontId="0" fillId="8" borderId="0" xfId="1" applyNumberFormat="1" applyFont="1" applyFill="1" applyBorder="1"/>
    <xf numFmtId="164" fontId="2" fillId="8" borderId="0" xfId="1" applyNumberFormat="1" applyFont="1" applyFill="1" applyBorder="1"/>
    <xf numFmtId="0" fontId="2" fillId="0" borderId="2" xfId="0" applyFont="1" applyBorder="1"/>
    <xf numFmtId="164" fontId="3" fillId="2" borderId="11" xfId="1" applyNumberFormat="1" applyFont="1" applyFill="1" applyBorder="1"/>
    <xf numFmtId="0" fontId="3" fillId="0" borderId="0" xfId="0" applyFont="1" applyAlignment="1">
      <alignment horizontal="left"/>
    </xf>
    <xf numFmtId="0" fontId="0" fillId="9" borderId="0" xfId="0" applyFill="1"/>
    <xf numFmtId="164" fontId="0" fillId="0" borderId="0" xfId="1" applyNumberFormat="1" applyFont="1" applyBorder="1" applyAlignment="1">
      <alignment horizontal="center" wrapText="1"/>
    </xf>
    <xf numFmtId="0" fontId="0" fillId="0" borderId="0" xfId="0" applyBorder="1" applyAlignment="1">
      <alignment horizontal="centerContinuous"/>
    </xf>
    <xf numFmtId="164" fontId="3" fillId="3" borderId="3" xfId="1" applyNumberFormat="1" applyFont="1" applyFill="1" applyBorder="1" applyAlignment="1">
      <alignment horizontal="center" wrapText="1"/>
    </xf>
    <xf numFmtId="164" fontId="3" fillId="3" borderId="3" xfId="1" applyNumberFormat="1" applyFont="1" applyFill="1" applyBorder="1"/>
    <xf numFmtId="164" fontId="3" fillId="3" borderId="4" xfId="1" applyNumberFormat="1" applyFont="1" applyFill="1" applyBorder="1"/>
    <xf numFmtId="0" fontId="3" fillId="0" borderId="3" xfId="0" applyFont="1" applyFill="1" applyBorder="1" applyAlignment="1">
      <alignment horizontal="centerContinuous"/>
    </xf>
    <xf numFmtId="0" fontId="3" fillId="0" borderId="4" xfId="0" applyFont="1" applyFill="1" applyBorder="1" applyAlignment="1">
      <alignment horizontal="center" wrapText="1"/>
    </xf>
    <xf numFmtId="164" fontId="6" fillId="3" borderId="3" xfId="1" applyNumberFormat="1" applyFont="1" applyFill="1" applyBorder="1"/>
    <xf numFmtId="0" fontId="0" fillId="0" borderId="9" xfId="0" applyBorder="1" applyAlignment="1">
      <alignment horizontal="center" wrapText="1"/>
    </xf>
    <xf numFmtId="164" fontId="0" fillId="0" borderId="6" xfId="1" applyNumberFormat="1" applyFont="1" applyBorder="1" applyAlignment="1">
      <alignment horizontal="center" wrapText="1"/>
    </xf>
    <xf numFmtId="0" fontId="0" fillId="0" borderId="6" xfId="0" applyBorder="1" applyAlignment="1">
      <alignment horizontal="centerContinuous"/>
    </xf>
    <xf numFmtId="0" fontId="0" fillId="0" borderId="6" xfId="0" applyBorder="1"/>
    <xf numFmtId="164" fontId="0" fillId="8" borderId="6" xfId="1" applyNumberFormat="1" applyFont="1" applyFill="1" applyBorder="1"/>
    <xf numFmtId="164" fontId="6" fillId="0" borderId="13" xfId="1" applyNumberFormat="1" applyFont="1" applyFill="1" applyBorder="1"/>
    <xf numFmtId="164" fontId="3" fillId="10" borderId="0" xfId="1" applyNumberFormat="1" applyFont="1" applyFill="1"/>
    <xf numFmtId="164" fontId="3" fillId="10" borderId="0" xfId="1" applyNumberFormat="1" applyFont="1" applyFill="1" applyAlignment="1">
      <alignment horizontal="center" wrapText="1"/>
    </xf>
    <xf numFmtId="164" fontId="3" fillId="10" borderId="1" xfId="1" applyNumberFormat="1" applyFont="1" applyFill="1" applyBorder="1"/>
    <xf numFmtId="164" fontId="6" fillId="10" borderId="0" xfId="1" applyNumberFormat="1" applyFont="1" applyFill="1"/>
    <xf numFmtId="164" fontId="3" fillId="3" borderId="10" xfId="1" applyNumberFormat="1" applyFont="1" applyFill="1" applyBorder="1" applyAlignment="1">
      <alignment horizontal="center" wrapText="1"/>
    </xf>
    <xf numFmtId="164" fontId="0" fillId="0" borderId="11" xfId="1" applyNumberFormat="1" applyFont="1" applyBorder="1" applyAlignment="1">
      <alignment horizontal="center" wrapText="1"/>
    </xf>
    <xf numFmtId="164" fontId="3" fillId="3" borderId="10" xfId="1" applyNumberFormat="1" applyFont="1" applyFill="1" applyBorder="1"/>
    <xf numFmtId="3" fontId="0" fillId="0" borderId="6" xfId="0" applyNumberFormat="1" applyBorder="1"/>
    <xf numFmtId="164" fontId="3" fillId="10" borderId="9" xfId="1" applyNumberFormat="1" applyFont="1" applyFill="1" applyBorder="1"/>
    <xf numFmtId="44" fontId="0" fillId="0" borderId="0" xfId="1" applyNumberFormat="1" applyFont="1"/>
    <xf numFmtId="164" fontId="2" fillId="0" borderId="0" xfId="1" applyNumberFormat="1" applyFont="1"/>
    <xf numFmtId="164" fontId="2" fillId="0" borderId="6" xfId="1" applyNumberFormat="1" applyFont="1" applyBorder="1" applyAlignment="1">
      <alignment horizontal="left" indent="1"/>
    </xf>
    <xf numFmtId="164" fontId="2" fillId="0" borderId="6" xfId="1" applyNumberFormat="1" applyFont="1" applyBorder="1" applyAlignment="1">
      <alignment horizontal="right" indent="1"/>
    </xf>
    <xf numFmtId="164" fontId="11" fillId="10" borderId="0" xfId="1" applyNumberFormat="1" applyFont="1" applyFill="1"/>
    <xf numFmtId="164" fontId="12" fillId="10" borderId="0" xfId="1" applyNumberFormat="1" applyFont="1" applyFill="1"/>
    <xf numFmtId="164" fontId="2" fillId="8" borderId="6" xfId="1" applyNumberFormat="1" applyFont="1" applyFill="1" applyBorder="1"/>
    <xf numFmtId="164" fontId="11" fillId="3" borderId="3" xfId="1" applyNumberFormat="1" applyFont="1" applyFill="1" applyBorder="1"/>
    <xf numFmtId="164" fontId="12" fillId="3" borderId="3" xfId="1" applyNumberFormat="1" applyFont="1" applyFill="1" applyBorder="1"/>
    <xf numFmtId="165" fontId="2" fillId="0" borderId="0" xfId="2" applyNumberFormat="1" applyFont="1"/>
    <xf numFmtId="164" fontId="3" fillId="10" borderId="1" xfId="1" applyNumberFormat="1" applyFont="1" applyFill="1" applyBorder="1" applyAlignment="1">
      <alignment horizontal="center" wrapText="1"/>
    </xf>
    <xf numFmtId="164" fontId="11" fillId="10" borderId="0" xfId="1" applyNumberFormat="1" applyFont="1" applyFill="1" applyAlignment="1">
      <alignment horizontal="center" wrapText="1"/>
    </xf>
    <xf numFmtId="164" fontId="3" fillId="10" borderId="2" xfId="1" applyNumberFormat="1" applyFont="1" applyFill="1" applyBorder="1" applyAlignment="1">
      <alignment horizontal="center" wrapText="1"/>
    </xf>
    <xf numFmtId="164" fontId="6" fillId="3" borderId="5" xfId="1" applyNumberFormat="1" applyFont="1" applyFill="1" applyBorder="1"/>
    <xf numFmtId="164" fontId="0" fillId="0" borderId="13" xfId="1" applyNumberFormat="1" applyFont="1" applyBorder="1"/>
    <xf numFmtId="164" fontId="0" fillId="0" borderId="0" xfId="1" applyNumberFormat="1" applyFont="1" applyFill="1"/>
    <xf numFmtId="164" fontId="0" fillId="0" borderId="11" xfId="1" applyNumberFormat="1" applyFont="1" applyFill="1" applyBorder="1"/>
    <xf numFmtId="0" fontId="3" fillId="0" borderId="0" xfId="0" applyFont="1" applyFill="1" applyBorder="1" applyAlignment="1">
      <alignment horizontal="centerContinuous"/>
    </xf>
    <xf numFmtId="0" fontId="0" fillId="8" borderId="6" xfId="0" applyFill="1" applyBorder="1"/>
    <xf numFmtId="164" fontId="12" fillId="0" borderId="5" xfId="1" applyNumberFormat="1" applyFont="1" applyFill="1" applyBorder="1"/>
    <xf numFmtId="0" fontId="0" fillId="0" borderId="11" xfId="0" applyBorder="1"/>
    <xf numFmtId="0" fontId="0" fillId="0" borderId="0" xfId="0" applyFill="1" applyBorder="1"/>
    <xf numFmtId="164" fontId="2" fillId="0" borderId="0" xfId="1" applyNumberFormat="1" applyFont="1" applyFill="1" applyBorder="1"/>
    <xf numFmtId="0" fontId="0" fillId="0" borderId="11" xfId="0" applyFill="1" applyBorder="1"/>
    <xf numFmtId="164" fontId="12" fillId="0" borderId="3" xfId="1" applyNumberFormat="1" applyFont="1" applyFill="1" applyBorder="1"/>
    <xf numFmtId="164" fontId="4" fillId="0" borderId="0" xfId="1" applyNumberFormat="1" applyFont="1" applyFill="1" applyBorder="1"/>
    <xf numFmtId="164" fontId="12" fillId="0" borderId="13" xfId="1" applyNumberFormat="1" applyFont="1" applyFill="1" applyBorder="1"/>
    <xf numFmtId="164" fontId="3" fillId="10" borderId="12" xfId="1" applyNumberFormat="1" applyFont="1" applyFill="1" applyBorder="1"/>
    <xf numFmtId="164" fontId="11" fillId="10" borderId="6" xfId="1" applyNumberFormat="1" applyFont="1" applyFill="1" applyBorder="1"/>
    <xf numFmtId="164" fontId="3" fillId="10" borderId="6" xfId="1" applyNumberFormat="1" applyFont="1" applyFill="1" applyBorder="1"/>
    <xf numFmtId="164" fontId="6" fillId="10" borderId="6" xfId="1" applyNumberFormat="1" applyFont="1" applyFill="1" applyBorder="1"/>
    <xf numFmtId="164" fontId="2" fillId="0" borderId="3" xfId="1" applyNumberFormat="1" applyFont="1" applyBorder="1" applyAlignment="1">
      <alignment horizontal="right" indent="1"/>
    </xf>
    <xf numFmtId="164" fontId="2" fillId="0" borderId="3" xfId="1" applyNumberFormat="1" applyFont="1" applyBorder="1" applyAlignment="1">
      <alignment horizontal="left" indent="1"/>
    </xf>
    <xf numFmtId="0" fontId="0" fillId="0" borderId="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164" fontId="0" fillId="0" borderId="0" xfId="0" applyNumberFormat="1" applyBorder="1"/>
    <xf numFmtId="0" fontId="0" fillId="0" borderId="3" xfId="0" applyFill="1" applyBorder="1"/>
    <xf numFmtId="164" fontId="2" fillId="0" borderId="0" xfId="0" applyNumberFormat="1" applyFont="1" applyBorder="1"/>
    <xf numFmtId="164" fontId="2" fillId="0" borderId="3" xfId="1" applyNumberFormat="1" applyFont="1" applyFill="1" applyBorder="1"/>
    <xf numFmtId="0" fontId="14" fillId="0" borderId="1" xfId="0" applyFont="1" applyBorder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5" fillId="0" borderId="0" xfId="1" applyNumberFormat="1" applyFont="1" applyAlignment="1">
      <alignment horizontal="center"/>
    </xf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0" fontId="14" fillId="0" borderId="0" xfId="0" applyFont="1" applyFill="1" applyBorder="1"/>
    <xf numFmtId="164" fontId="14" fillId="0" borderId="0" xfId="0" applyNumberFormat="1" applyFont="1" applyAlignment="1">
      <alignment horizontal="center"/>
    </xf>
    <xf numFmtId="164" fontId="3" fillId="3" borderId="0" xfId="1" applyNumberFormat="1" applyFont="1" applyFill="1" applyBorder="1" applyAlignment="1">
      <alignment horizontal="center" wrapText="1"/>
    </xf>
    <xf numFmtId="164" fontId="3" fillId="3" borderId="0" xfId="1" applyNumberFormat="1" applyFont="1" applyFill="1" applyBorder="1"/>
    <xf numFmtId="164" fontId="3" fillId="3" borderId="1" xfId="1" applyNumberFormat="1" applyFont="1" applyFill="1" applyBorder="1"/>
    <xf numFmtId="164" fontId="3" fillId="0" borderId="10" xfId="1" applyNumberFormat="1" applyFont="1" applyFill="1" applyBorder="1"/>
    <xf numFmtId="165" fontId="3" fillId="0" borderId="0" xfId="2" applyNumberFormat="1" applyFont="1"/>
    <xf numFmtId="165" fontId="0" fillId="0" borderId="0" xfId="0" applyNumberFormat="1"/>
    <xf numFmtId="165" fontId="0" fillId="0" borderId="0" xfId="2" applyNumberFormat="1" applyFont="1" applyAlignment="1">
      <alignment horizontal="left"/>
    </xf>
    <xf numFmtId="164" fontId="0" fillId="5" borderId="6" xfId="1" applyNumberFormat="1" applyFont="1" applyFill="1" applyBorder="1"/>
    <xf numFmtId="14" fontId="0" fillId="0" borderId="0" xfId="0" applyNumberFormat="1" applyFill="1"/>
    <xf numFmtId="164" fontId="2" fillId="0" borderId="0" xfId="1" applyNumberFormat="1" applyFont="1" applyBorder="1" applyAlignment="1">
      <alignment horizontal="left" indent="1"/>
    </xf>
    <xf numFmtId="164" fontId="2" fillId="0" borderId="6" xfId="1" applyNumberFormat="1" applyFont="1" applyBorder="1"/>
    <xf numFmtId="0" fontId="0" fillId="8" borderId="0" xfId="0" applyFill="1" applyBorder="1"/>
    <xf numFmtId="166" fontId="0" fillId="0" borderId="0" xfId="0" applyNumberFormat="1"/>
    <xf numFmtId="166" fontId="0" fillId="0" borderId="0" xfId="0" applyNumberFormat="1" applyFill="1" applyBorder="1"/>
    <xf numFmtId="167" fontId="0" fillId="0" borderId="0" xfId="0" applyNumberFormat="1"/>
    <xf numFmtId="9" fontId="0" fillId="0" borderId="0" xfId="2" applyFont="1" applyFill="1" applyBorder="1"/>
    <xf numFmtId="164" fontId="0" fillId="0" borderId="0" xfId="0" applyNumberFormat="1" applyFill="1" applyBorder="1"/>
    <xf numFmtId="0" fontId="16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14" fontId="0" fillId="0" borderId="0" xfId="0" applyNumberFormat="1" applyBorder="1"/>
    <xf numFmtId="0" fontId="22" fillId="0" borderId="0" xfId="0" applyFont="1"/>
    <xf numFmtId="164" fontId="0" fillId="0" borderId="14" xfId="0" applyNumberFormat="1" applyBorder="1"/>
    <xf numFmtId="0" fontId="23" fillId="0" borderId="0" xfId="0" applyFont="1"/>
    <xf numFmtId="164" fontId="23" fillId="0" borderId="0" xfId="1" applyNumberFormat="1" applyFont="1" applyFill="1" applyBorder="1"/>
    <xf numFmtId="164" fontId="21" fillId="0" borderId="0" xfId="1" applyNumberFormat="1" applyFont="1" applyFill="1" applyBorder="1"/>
    <xf numFmtId="164" fontId="24" fillId="2" borderId="0" xfId="1" applyNumberFormat="1" applyFont="1" applyFill="1"/>
    <xf numFmtId="164" fontId="24" fillId="10" borderId="6" xfId="1" applyNumberFormat="1" applyFont="1" applyFill="1" applyBorder="1"/>
    <xf numFmtId="164" fontId="24" fillId="0" borderId="3" xfId="1" applyNumberFormat="1" applyFont="1" applyFill="1" applyBorder="1"/>
    <xf numFmtId="164" fontId="24" fillId="0" borderId="0" xfId="1" applyNumberFormat="1" applyFont="1" applyFill="1" applyBorder="1"/>
    <xf numFmtId="9" fontId="0" fillId="0" borderId="0" xfId="2" applyFont="1"/>
    <xf numFmtId="9" fontId="0" fillId="0" borderId="0" xfId="0" applyNumberFormat="1"/>
    <xf numFmtId="164" fontId="2" fillId="0" borderId="0" xfId="1" applyNumberFormat="1" applyFont="1" applyBorder="1" applyAlignment="1">
      <alignment horizontal="right" indent="1"/>
    </xf>
    <xf numFmtId="0" fontId="0" fillId="0" borderId="15" xfId="0" applyBorder="1" applyAlignment="1">
      <alignment horizontal="centerContinuous"/>
    </xf>
    <xf numFmtId="44" fontId="0" fillId="0" borderId="6" xfId="1" applyNumberFormat="1" applyFont="1" applyBorder="1"/>
    <xf numFmtId="164" fontId="2" fillId="0" borderId="3" xfId="1" applyNumberFormat="1" applyFont="1" applyBorder="1"/>
    <xf numFmtId="0" fontId="25" fillId="0" borderId="0" xfId="0" applyFont="1" applyFill="1" applyBorder="1" applyAlignment="1">
      <alignment horizontal="left"/>
    </xf>
    <xf numFmtId="164" fontId="21" fillId="0" borderId="0" xfId="1" applyNumberFormat="1" applyFont="1" applyBorder="1"/>
    <xf numFmtId="164" fontId="3" fillId="11" borderId="0" xfId="1" applyNumberFormat="1" applyFont="1" applyFill="1"/>
    <xf numFmtId="164" fontId="3" fillId="12" borderId="0" xfId="1" applyNumberFormat="1" applyFont="1" applyFill="1"/>
    <xf numFmtId="164" fontId="26" fillId="0" borderId="3" xfId="1" applyNumberFormat="1" applyFont="1" applyFill="1" applyBorder="1"/>
    <xf numFmtId="164" fontId="0" fillId="0" borderId="21" xfId="1" applyNumberFormat="1" applyFont="1" applyBorder="1"/>
    <xf numFmtId="0" fontId="0" fillId="0" borderId="22" xfId="0" applyBorder="1" applyAlignment="1">
      <alignment horizontal="center" wrapText="1"/>
    </xf>
    <xf numFmtId="0" fontId="0" fillId="0" borderId="22" xfId="0" applyFill="1" applyBorder="1"/>
    <xf numFmtId="0" fontId="19" fillId="0" borderId="22" xfId="0" applyFont="1" applyBorder="1" applyAlignment="1">
      <alignment horizontal="right" vertical="center"/>
    </xf>
    <xf numFmtId="164" fontId="0" fillId="0" borderId="22" xfId="0" applyNumberFormat="1" applyBorder="1"/>
    <xf numFmtId="0" fontId="0" fillId="0" borderId="18" xfId="0" applyFill="1" applyBorder="1"/>
    <xf numFmtId="164" fontId="0" fillId="0" borderId="18" xfId="0" applyNumberFormat="1" applyBorder="1"/>
    <xf numFmtId="0" fontId="0" fillId="0" borderId="0" xfId="0" applyAlignment="1">
      <alignment horizontal="right"/>
    </xf>
    <xf numFmtId="164" fontId="2" fillId="0" borderId="0" xfId="0" applyNumberFormat="1" applyFont="1"/>
    <xf numFmtId="164" fontId="0" fillId="0" borderId="1" xfId="0" applyNumberFormat="1" applyBorder="1"/>
    <xf numFmtId="0" fontId="0" fillId="0" borderId="18" xfId="0" applyBorder="1" applyAlignment="1">
      <alignment horizontal="centerContinuous"/>
    </xf>
    <xf numFmtId="0" fontId="0" fillId="0" borderId="18" xfId="0" applyBorder="1" applyAlignment="1">
      <alignment horizontal="center" wrapText="1"/>
    </xf>
    <xf numFmtId="164" fontId="2" fillId="0" borderId="18" xfId="0" applyNumberFormat="1" applyFont="1" applyBorder="1"/>
    <xf numFmtId="164" fontId="2" fillId="0" borderId="22" xfId="0" applyNumberFormat="1" applyFont="1" applyBorder="1"/>
    <xf numFmtId="0" fontId="21" fillId="0" borderId="0" xfId="0" applyFont="1"/>
    <xf numFmtId="9" fontId="0" fillId="0" borderId="16" xfId="2" applyFont="1" applyBorder="1"/>
    <xf numFmtId="9" fontId="0" fillId="0" borderId="16" xfId="0" applyNumberFormat="1" applyBorder="1"/>
    <xf numFmtId="168" fontId="0" fillId="0" borderId="0" xfId="0" applyNumberFormat="1"/>
    <xf numFmtId="164" fontId="0" fillId="0" borderId="17" xfId="1" applyNumberFormat="1" applyFont="1" applyBorder="1"/>
    <xf numFmtId="164" fontId="2" fillId="0" borderId="19" xfId="0" applyNumberFormat="1" applyFont="1" applyBorder="1"/>
    <xf numFmtId="0" fontId="19" fillId="0" borderId="0" xfId="0" applyFont="1" applyBorder="1" applyAlignment="1">
      <alignment horizontal="right" vertical="center"/>
    </xf>
    <xf numFmtId="164" fontId="0" fillId="0" borderId="22" xfId="0" applyNumberFormat="1" applyFill="1" applyBorder="1"/>
    <xf numFmtId="164" fontId="2" fillId="0" borderId="22" xfId="0" applyNumberFormat="1" applyFont="1" applyFill="1" applyBorder="1"/>
    <xf numFmtId="164" fontId="2" fillId="0" borderId="0" xfId="0" applyNumberFormat="1" applyFont="1" applyFill="1" applyBorder="1"/>
    <xf numFmtId="0" fontId="0" fillId="0" borderId="0" xfId="0" applyFont="1" applyFill="1" applyAlignment="1">
      <alignment horizontal="left"/>
    </xf>
    <xf numFmtId="164" fontId="15" fillId="0" borderId="1" xfId="0" applyNumberFormat="1" applyFont="1" applyFill="1" applyBorder="1" applyAlignment="1">
      <alignment horizontal="center"/>
    </xf>
    <xf numFmtId="164" fontId="27" fillId="10" borderId="6" xfId="1" applyNumberFormat="1" applyFont="1" applyFill="1" applyBorder="1"/>
    <xf numFmtId="164" fontId="27" fillId="0" borderId="3" xfId="1" applyNumberFormat="1" applyFont="1" applyFill="1" applyBorder="1"/>
    <xf numFmtId="164" fontId="27" fillId="0" borderId="0" xfId="1" applyNumberFormat="1" applyFont="1" applyFill="1" applyBorder="1"/>
    <xf numFmtId="164" fontId="1" fillId="0" borderId="0" xfId="1" applyNumberFormat="1" applyFont="1" applyFill="1" applyBorder="1"/>
    <xf numFmtId="0" fontId="15" fillId="0" borderId="0" xfId="0" applyFont="1" applyFill="1"/>
    <xf numFmtId="0" fontId="15" fillId="0" borderId="0" xfId="0" applyFont="1" applyFill="1" applyAlignment="1">
      <alignment horizontal="center"/>
    </xf>
    <xf numFmtId="164" fontId="15" fillId="0" borderId="0" xfId="0" applyNumberFormat="1" applyFont="1" applyFill="1" applyAlignment="1">
      <alignment horizontal="center"/>
    </xf>
    <xf numFmtId="0" fontId="21" fillId="0" borderId="0" xfId="0" applyFont="1" applyFill="1"/>
    <xf numFmtId="0" fontId="28" fillId="0" borderId="16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9" fillId="0" borderId="23" xfId="0" applyFont="1" applyBorder="1" applyAlignment="1">
      <alignment vertical="center" wrapText="1"/>
    </xf>
    <xf numFmtId="0" fontId="29" fillId="0" borderId="20" xfId="0" applyFont="1" applyBorder="1" applyAlignment="1">
      <alignment vertical="center" wrapText="1"/>
    </xf>
    <xf numFmtId="0" fontId="29" fillId="0" borderId="20" xfId="0" applyFont="1" applyBorder="1" applyAlignment="1">
      <alignment horizontal="right" vertical="center" wrapText="1"/>
    </xf>
    <xf numFmtId="0" fontId="29" fillId="0" borderId="16" xfId="0" applyFont="1" applyBorder="1" applyAlignment="1">
      <alignment vertical="center" wrapText="1"/>
    </xf>
    <xf numFmtId="0" fontId="29" fillId="0" borderId="26" xfId="0" applyFont="1" applyBorder="1" applyAlignment="1">
      <alignment vertical="center" wrapText="1"/>
    </xf>
    <xf numFmtId="0" fontId="29" fillId="0" borderId="26" xfId="0" applyFont="1" applyBorder="1" applyAlignment="1">
      <alignment horizontal="right" vertical="center" wrapText="1"/>
    </xf>
    <xf numFmtId="0" fontId="0" fillId="0" borderId="27" xfId="0" applyBorder="1"/>
    <xf numFmtId="165" fontId="0" fillId="0" borderId="28" xfId="2" applyNumberFormat="1" applyFont="1" applyBorder="1"/>
    <xf numFmtId="6" fontId="29" fillId="0" borderId="26" xfId="0" applyNumberFormat="1" applyFont="1" applyBorder="1" applyAlignment="1">
      <alignment horizontal="right" vertical="center" wrapText="1"/>
    </xf>
    <xf numFmtId="6" fontId="29" fillId="0" borderId="20" xfId="0" applyNumberFormat="1" applyFont="1" applyBorder="1" applyAlignment="1">
      <alignment horizontal="right" vertical="center" wrapText="1"/>
    </xf>
    <xf numFmtId="164" fontId="29" fillId="0" borderId="20" xfId="0" applyNumberFormat="1" applyFont="1" applyBorder="1" applyAlignment="1">
      <alignment horizontal="right" vertical="center" wrapText="1"/>
    </xf>
    <xf numFmtId="164" fontId="0" fillId="0" borderId="28" xfId="1" applyNumberFormat="1" applyFont="1" applyBorder="1"/>
    <xf numFmtId="0" fontId="30" fillId="13" borderId="26" xfId="0" applyFont="1" applyFill="1" applyBorder="1" applyAlignment="1">
      <alignment vertical="center"/>
    </xf>
    <xf numFmtId="0" fontId="29" fillId="14" borderId="23" xfId="0" applyFont="1" applyFill="1" applyBorder="1" applyAlignment="1">
      <alignment vertical="center" wrapText="1"/>
    </xf>
    <xf numFmtId="8" fontId="29" fillId="14" borderId="20" xfId="0" applyNumberFormat="1" applyFont="1" applyFill="1" applyBorder="1" applyAlignment="1">
      <alignment vertical="center"/>
    </xf>
    <xf numFmtId="0" fontId="31" fillId="0" borderId="23" xfId="0" applyFont="1" applyBorder="1" applyAlignment="1">
      <alignment vertical="center" wrapText="1"/>
    </xf>
    <xf numFmtId="8" fontId="31" fillId="0" borderId="20" xfId="0" applyNumberFormat="1" applyFont="1" applyBorder="1" applyAlignment="1">
      <alignment vertical="center"/>
    </xf>
    <xf numFmtId="10" fontId="31" fillId="0" borderId="20" xfId="0" applyNumberFormat="1" applyFont="1" applyBorder="1" applyAlignment="1">
      <alignment vertical="center"/>
    </xf>
    <xf numFmtId="0" fontId="32" fillId="13" borderId="16" xfId="0" applyFont="1" applyFill="1" applyBorder="1" applyAlignment="1">
      <alignment vertical="center" wrapText="1"/>
    </xf>
    <xf numFmtId="166" fontId="31" fillId="0" borderId="20" xfId="0" applyNumberFormat="1" applyFont="1" applyBorder="1" applyAlignment="1">
      <alignment vertical="center"/>
    </xf>
    <xf numFmtId="166" fontId="29" fillId="14" borderId="20" xfId="0" applyNumberFormat="1" applyFont="1" applyFill="1" applyBorder="1" applyAlignment="1">
      <alignment vertical="center"/>
    </xf>
    <xf numFmtId="10" fontId="29" fillId="14" borderId="20" xfId="2" applyNumberFormat="1" applyFont="1" applyFill="1" applyBorder="1" applyAlignment="1">
      <alignment vertical="center"/>
    </xf>
    <xf numFmtId="166" fontId="29" fillId="14" borderId="20" xfId="2" applyNumberFormat="1" applyFont="1" applyFill="1" applyBorder="1" applyAlignment="1">
      <alignment vertical="center"/>
    </xf>
    <xf numFmtId="10" fontId="31" fillId="5" borderId="20" xfId="0" applyNumberFormat="1" applyFont="1" applyFill="1" applyBorder="1" applyAlignment="1">
      <alignment vertical="center"/>
    </xf>
    <xf numFmtId="0" fontId="30" fillId="13" borderId="26" xfId="0" applyFont="1" applyFill="1" applyBorder="1" applyAlignment="1">
      <alignment vertical="center" wrapText="1"/>
    </xf>
    <xf numFmtId="0" fontId="29" fillId="14" borderId="20" xfId="0" applyFont="1" applyFill="1" applyBorder="1" applyAlignment="1">
      <alignment vertical="center" wrapText="1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vertical="center" wrapText="1"/>
    </xf>
    <xf numFmtId="0" fontId="31" fillId="14" borderId="20" xfId="0" applyFont="1" applyFill="1" applyBorder="1" applyAlignment="1">
      <alignment vertical="center"/>
    </xf>
    <xf numFmtId="0" fontId="31" fillId="14" borderId="20" xfId="0" applyFont="1" applyFill="1" applyBorder="1" applyAlignment="1">
      <alignment vertical="center" wrapText="1"/>
    </xf>
    <xf numFmtId="0" fontId="29" fillId="14" borderId="20" xfId="0" applyFont="1" applyFill="1" applyBorder="1" applyAlignment="1">
      <alignment vertical="center"/>
    </xf>
    <xf numFmtId="10" fontId="29" fillId="14" borderId="20" xfId="0" applyNumberFormat="1" applyFont="1" applyFill="1" applyBorder="1" applyAlignment="1">
      <alignment vertical="center" wrapText="1"/>
    </xf>
    <xf numFmtId="10" fontId="31" fillId="0" borderId="20" xfId="0" applyNumberFormat="1" applyFont="1" applyBorder="1" applyAlignment="1">
      <alignment vertical="center" wrapText="1"/>
    </xf>
    <xf numFmtId="0" fontId="30" fillId="13" borderId="26" xfId="0" applyFont="1" applyFill="1" applyBorder="1" applyAlignment="1">
      <alignment horizontal="center" vertical="center" wrapText="1"/>
    </xf>
    <xf numFmtId="8" fontId="31" fillId="0" borderId="20" xfId="0" applyNumberFormat="1" applyFont="1" applyFill="1" applyBorder="1" applyAlignment="1">
      <alignment vertical="center"/>
    </xf>
    <xf numFmtId="0" fontId="33" fillId="13" borderId="16" xfId="0" applyFont="1" applyFill="1" applyBorder="1" applyAlignment="1">
      <alignment vertical="center" wrapText="1"/>
    </xf>
    <xf numFmtId="0" fontId="35" fillId="0" borderId="16" xfId="0" applyFont="1" applyBorder="1" applyAlignment="1">
      <alignment horizontal="right" vertical="center" wrapText="1"/>
    </xf>
    <xf numFmtId="0" fontId="35" fillId="0" borderId="26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7" fillId="0" borderId="20" xfId="0" applyFont="1" applyBorder="1" applyAlignment="1">
      <alignment vertical="center" wrapText="1"/>
    </xf>
    <xf numFmtId="0" fontId="37" fillId="0" borderId="20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7" fillId="15" borderId="2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4" fillId="16" borderId="23" xfId="0" applyFont="1" applyFill="1" applyBorder="1" applyAlignment="1">
      <alignment vertical="center" wrapText="1"/>
    </xf>
    <xf numFmtId="0" fontId="30" fillId="16" borderId="20" xfId="0" applyFont="1" applyFill="1" applyBorder="1" applyAlignment="1">
      <alignment vertical="center"/>
    </xf>
    <xf numFmtId="8" fontId="30" fillId="16" borderId="20" xfId="0" applyNumberFormat="1" applyFont="1" applyFill="1" applyBorder="1" applyAlignment="1">
      <alignment vertical="center"/>
    </xf>
    <xf numFmtId="10" fontId="30" fillId="16" borderId="20" xfId="0" applyNumberFormat="1" applyFont="1" applyFill="1" applyBorder="1" applyAlignment="1">
      <alignment vertical="center" wrapText="1"/>
    </xf>
    <xf numFmtId="0" fontId="30" fillId="16" borderId="20" xfId="0" applyFont="1" applyFill="1" applyBorder="1" applyAlignment="1">
      <alignment vertical="center" wrapText="1"/>
    </xf>
    <xf numFmtId="0" fontId="32" fillId="16" borderId="23" xfId="0" applyFont="1" applyFill="1" applyBorder="1" applyAlignment="1">
      <alignment vertical="center" wrapText="1"/>
    </xf>
    <xf numFmtId="166" fontId="33" fillId="16" borderId="20" xfId="0" applyNumberFormat="1" applyFont="1" applyFill="1" applyBorder="1" applyAlignment="1">
      <alignment vertical="center"/>
    </xf>
    <xf numFmtId="10" fontId="33" fillId="16" borderId="20" xfId="0" applyNumberFormat="1" applyFont="1" applyFill="1" applyBorder="1" applyAlignment="1">
      <alignment vertical="center"/>
    </xf>
    <xf numFmtId="0" fontId="28" fillId="0" borderId="29" xfId="0" applyFont="1" applyBorder="1" applyAlignment="1">
      <alignment vertical="center"/>
    </xf>
    <xf numFmtId="0" fontId="29" fillId="0" borderId="29" xfId="0" applyFont="1" applyBorder="1" applyAlignment="1">
      <alignment horizontal="right" vertical="center"/>
    </xf>
    <xf numFmtId="0" fontId="29" fillId="0" borderId="0" xfId="0" applyFont="1" applyAlignment="1">
      <alignment vertical="center"/>
    </xf>
    <xf numFmtId="8" fontId="29" fillId="0" borderId="0" xfId="0" applyNumberFormat="1" applyFont="1" applyAlignment="1">
      <alignment horizontal="right" vertical="center"/>
    </xf>
    <xf numFmtId="10" fontId="29" fillId="0" borderId="0" xfId="0" applyNumberFormat="1" applyFont="1" applyAlignment="1">
      <alignment horizontal="right" vertical="center"/>
    </xf>
    <xf numFmtId="0" fontId="28" fillId="0" borderId="30" xfId="0" applyFont="1" applyBorder="1" applyAlignment="1">
      <alignment vertical="center"/>
    </xf>
    <xf numFmtId="8" fontId="28" fillId="0" borderId="30" xfId="0" applyNumberFormat="1" applyFont="1" applyBorder="1" applyAlignment="1">
      <alignment horizontal="right" vertical="center"/>
    </xf>
    <xf numFmtId="9" fontId="28" fillId="0" borderId="30" xfId="0" applyNumberFormat="1" applyFont="1" applyBorder="1" applyAlignment="1">
      <alignment horizontal="right" vertical="center"/>
    </xf>
    <xf numFmtId="164" fontId="4" fillId="0" borderId="0" xfId="0" applyNumberFormat="1" applyFont="1" applyFill="1"/>
    <xf numFmtId="165" fontId="4" fillId="0" borderId="0" xfId="2" applyNumberFormat="1" applyFont="1" applyFill="1"/>
    <xf numFmtId="164" fontId="0" fillId="0" borderId="0" xfId="0" applyNumberFormat="1" applyFont="1" applyFill="1"/>
    <xf numFmtId="165" fontId="0" fillId="0" borderId="0" xfId="2" applyNumberFormat="1" applyFont="1" applyFill="1"/>
    <xf numFmtId="0" fontId="0" fillId="0" borderId="0" xfId="0" applyFont="1" applyFill="1"/>
    <xf numFmtId="0" fontId="37" fillId="0" borderId="20" xfId="0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3" fillId="0" borderId="3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0" fillId="0" borderId="32" xfId="0" applyBorder="1"/>
    <xf numFmtId="0" fontId="0" fillId="0" borderId="17" xfId="0" applyBorder="1"/>
    <xf numFmtId="0" fontId="0" fillId="0" borderId="17" xfId="0" applyFont="1" applyBorder="1"/>
    <xf numFmtId="0" fontId="0" fillId="0" borderId="33" xfId="0" applyBorder="1"/>
    <xf numFmtId="0" fontId="0" fillId="0" borderId="18" xfId="0" applyBorder="1"/>
    <xf numFmtId="164" fontId="0" fillId="0" borderId="0" xfId="0" applyNumberFormat="1" applyFont="1" applyBorder="1"/>
    <xf numFmtId="165" fontId="0" fillId="0" borderId="0" xfId="0" applyNumberFormat="1" applyBorder="1"/>
    <xf numFmtId="0" fontId="0" fillId="0" borderId="19" xfId="0" applyBorder="1"/>
    <xf numFmtId="0" fontId="0" fillId="0" borderId="0" xfId="0" applyFont="1" applyBorder="1"/>
    <xf numFmtId="165" fontId="0" fillId="0" borderId="0" xfId="2" applyNumberFormat="1" applyFont="1" applyBorder="1"/>
    <xf numFmtId="0" fontId="0" fillId="0" borderId="34" xfId="0" applyBorder="1"/>
    <xf numFmtId="0" fontId="0" fillId="0" borderId="20" xfId="0" applyBorder="1"/>
    <xf numFmtId="0" fontId="0" fillId="0" borderId="36" xfId="0" applyFont="1" applyBorder="1"/>
    <xf numFmtId="164" fontId="0" fillId="0" borderId="6" xfId="0" applyNumberFormat="1" applyFont="1" applyBorder="1"/>
    <xf numFmtId="0" fontId="0" fillId="0" borderId="6" xfId="0" applyFont="1" applyBorder="1"/>
    <xf numFmtId="0" fontId="0" fillId="0" borderId="0" xfId="0" applyAlignment="1">
      <alignment vertical="center"/>
    </xf>
    <xf numFmtId="0" fontId="41" fillId="0" borderId="0" xfId="0" applyFont="1" applyAlignment="1">
      <alignment vertical="center"/>
    </xf>
    <xf numFmtId="0" fontId="42" fillId="0" borderId="29" xfId="0" applyFont="1" applyBorder="1" applyAlignment="1">
      <alignment vertical="center" wrapText="1"/>
    </xf>
    <xf numFmtId="0" fontId="42" fillId="0" borderId="29" xfId="0" applyFont="1" applyBorder="1" applyAlignment="1">
      <alignment horizontal="right" vertical="center" wrapText="1"/>
    </xf>
    <xf numFmtId="6" fontId="43" fillId="0" borderId="0" xfId="0" applyNumberFormat="1" applyFont="1" applyAlignment="1">
      <alignment horizontal="right" vertical="center" wrapText="1"/>
    </xf>
    <xf numFmtId="0" fontId="42" fillId="0" borderId="0" xfId="0" applyFont="1" applyAlignment="1">
      <alignment vertical="center" wrapText="1"/>
    </xf>
    <xf numFmtId="6" fontId="42" fillId="0" borderId="0" xfId="0" applyNumberFormat="1" applyFont="1" applyAlignment="1">
      <alignment horizontal="right" vertical="center" wrapText="1"/>
    </xf>
    <xf numFmtId="6" fontId="43" fillId="0" borderId="35" xfId="0" applyNumberFormat="1" applyFont="1" applyBorder="1" applyAlignment="1">
      <alignment horizontal="right" vertical="center" wrapText="1"/>
    </xf>
    <xf numFmtId="0" fontId="42" fillId="0" borderId="30" xfId="0" applyFont="1" applyBorder="1" applyAlignment="1">
      <alignment vertical="center" wrapText="1"/>
    </xf>
    <xf numFmtId="0" fontId="42" fillId="0" borderId="30" xfId="0" applyFont="1" applyBorder="1" applyAlignment="1">
      <alignment horizontal="right" vertical="center" wrapText="1"/>
    </xf>
    <xf numFmtId="10" fontId="42" fillId="0" borderId="30" xfId="0" applyNumberFormat="1" applyFont="1" applyBorder="1" applyAlignment="1">
      <alignment horizontal="right" vertical="center" wrapText="1"/>
    </xf>
    <xf numFmtId="6" fontId="43" fillId="17" borderId="0" xfId="0" applyNumberFormat="1" applyFont="1" applyFill="1" applyAlignment="1">
      <alignment horizontal="right" vertical="center" wrapText="1"/>
    </xf>
    <xf numFmtId="6" fontId="43" fillId="17" borderId="35" xfId="0" applyNumberFormat="1" applyFont="1" applyFill="1" applyBorder="1" applyAlignment="1">
      <alignment horizontal="right" vertical="center" wrapText="1"/>
    </xf>
    <xf numFmtId="0" fontId="0" fillId="0" borderId="30" xfId="0" applyBorder="1"/>
    <xf numFmtId="6" fontId="43" fillId="17" borderId="0" xfId="0" applyNumberFormat="1" applyFont="1" applyFill="1" applyBorder="1" applyAlignment="1">
      <alignment horizontal="right" vertical="center" wrapText="1"/>
    </xf>
    <xf numFmtId="6" fontId="43" fillId="17" borderId="24" xfId="0" applyNumberFormat="1" applyFont="1" applyFill="1" applyBorder="1" applyAlignment="1">
      <alignment horizontal="right" vertical="center" wrapText="1"/>
    </xf>
    <xf numFmtId="0" fontId="42" fillId="0" borderId="35" xfId="0" applyFont="1" applyBorder="1" applyAlignment="1">
      <alignment vertical="center" wrapText="1"/>
    </xf>
    <xf numFmtId="6" fontId="42" fillId="0" borderId="35" xfId="0" applyNumberFormat="1" applyFont="1" applyBorder="1" applyAlignment="1">
      <alignment horizontal="right" vertical="center" wrapText="1"/>
    </xf>
    <xf numFmtId="6" fontId="43" fillId="17" borderId="17" xfId="0" applyNumberFormat="1" applyFont="1" applyFill="1" applyBorder="1" applyAlignment="1">
      <alignment horizontal="right" vertical="center" wrapText="1"/>
    </xf>
    <xf numFmtId="6" fontId="42" fillId="0" borderId="17" xfId="0" applyNumberFormat="1" applyFont="1" applyBorder="1" applyAlignment="1">
      <alignment horizontal="right" vertical="center" wrapText="1"/>
    </xf>
    <xf numFmtId="6" fontId="43" fillId="17" borderId="38" xfId="0" applyNumberFormat="1" applyFont="1" applyFill="1" applyBorder="1" applyAlignment="1">
      <alignment horizontal="right" vertical="center" wrapText="1"/>
    </xf>
    <xf numFmtId="164" fontId="42" fillId="0" borderId="0" xfId="0" applyNumberFormat="1" applyFont="1" applyAlignment="1">
      <alignment horizontal="right" vertical="center" wrapText="1"/>
    </xf>
    <xf numFmtId="0" fontId="0" fillId="0" borderId="18" xfId="0" applyBorder="1" applyAlignment="1">
      <alignment vertical="top"/>
    </xf>
    <xf numFmtId="0" fontId="0" fillId="0" borderId="0" xfId="0" applyAlignment="1">
      <alignment vertical="top"/>
    </xf>
    <xf numFmtId="6" fontId="0" fillId="0" borderId="0" xfId="0" applyNumberFormat="1" applyBorder="1" applyAlignment="1">
      <alignment horizontal="right" vertical="top"/>
    </xf>
    <xf numFmtId="164" fontId="0" fillId="0" borderId="6" xfId="0" applyNumberFormat="1" applyFill="1" applyBorder="1"/>
    <xf numFmtId="165" fontId="0" fillId="0" borderId="0" xfId="2" applyNumberFormat="1" applyFont="1" applyFill="1" applyBorder="1"/>
    <xf numFmtId="0" fontId="0" fillId="0" borderId="35" xfId="0" applyFill="1" applyBorder="1"/>
    <xf numFmtId="0" fontId="0" fillId="0" borderId="37" xfId="0" applyFill="1" applyBorder="1"/>
    <xf numFmtId="6" fontId="0" fillId="0" borderId="3" xfId="0" applyNumberFormat="1" applyBorder="1" applyAlignment="1">
      <alignment horizontal="right" vertical="top"/>
    </xf>
    <xf numFmtId="0" fontId="0" fillId="0" borderId="19" xfId="0" applyBorder="1" applyAlignment="1">
      <alignment vertical="top"/>
    </xf>
    <xf numFmtId="2" fontId="0" fillId="0" borderId="19" xfId="0" applyNumberFormat="1" applyBorder="1"/>
    <xf numFmtId="0" fontId="0" fillId="0" borderId="0" xfId="0" applyFill="1" applyAlignment="1">
      <alignment horizontal="center" wrapText="1"/>
    </xf>
    <xf numFmtId="0" fontId="39" fillId="0" borderId="31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left" vertical="top" wrapText="1"/>
    </xf>
    <xf numFmtId="0" fontId="42" fillId="0" borderId="29" xfId="0" applyFont="1" applyBorder="1" applyAlignment="1">
      <alignment vertical="center" wrapText="1"/>
    </xf>
    <xf numFmtId="0" fontId="43" fillId="0" borderId="0" xfId="0" applyFont="1" applyBorder="1" applyAlignment="1">
      <alignment vertical="center" wrapText="1"/>
    </xf>
    <xf numFmtId="0" fontId="42" fillId="0" borderId="0" xfId="0" applyFont="1" applyAlignment="1">
      <alignment vertical="center" wrapText="1"/>
    </xf>
    <xf numFmtId="0" fontId="43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3" fillId="0" borderId="17" xfId="0" applyFont="1" applyBorder="1" applyAlignment="1">
      <alignment vertical="center" wrapText="1"/>
    </xf>
    <xf numFmtId="0" fontId="42" fillId="0" borderId="35" xfId="0" applyFont="1" applyBorder="1" applyAlignment="1">
      <alignment horizontal="center" vertical="center" wrapText="1"/>
    </xf>
    <xf numFmtId="0" fontId="43" fillId="17" borderId="0" xfId="0" applyFont="1" applyFill="1" applyBorder="1" applyAlignment="1">
      <alignment horizontal="center" vertical="center" wrapText="1"/>
    </xf>
    <xf numFmtId="0" fontId="43" fillId="17" borderId="24" xfId="0" applyFont="1" applyFill="1" applyBorder="1" applyAlignment="1">
      <alignment horizontal="center" vertical="center" wrapText="1"/>
    </xf>
    <xf numFmtId="0" fontId="43" fillId="0" borderId="17" xfId="0" applyFont="1" applyBorder="1" applyAlignment="1">
      <alignment horizontal="center" vertical="center" wrapText="1"/>
    </xf>
    <xf numFmtId="0" fontId="42" fillId="0" borderId="29" xfId="0" applyFont="1" applyBorder="1" applyAlignment="1">
      <alignment horizontal="center" vertical="center" wrapText="1"/>
    </xf>
    <xf numFmtId="0" fontId="43" fillId="17" borderId="38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0" fontId="0" fillId="0" borderId="0" xfId="0" applyFill="1" applyBorder="1" applyAlignment="1">
      <alignment horizontal="left" vertical="top" wrapText="1"/>
    </xf>
    <xf numFmtId="0" fontId="0" fillId="0" borderId="35" xfId="0" applyFill="1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D9E1F2"/>
      <color rgb="FF4BD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309562</xdr:colOff>
      <xdr:row>121</xdr:row>
      <xdr:rowOff>103188</xdr:rowOff>
    </xdr:from>
    <xdr:to>
      <xdr:col>9</xdr:col>
      <xdr:colOff>490045</xdr:colOff>
      <xdr:row>149</xdr:row>
      <xdr:rowOff>67628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23951407"/>
          <a:ext cx="9824545" cy="52984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153</xdr:row>
      <xdr:rowOff>0</xdr:rowOff>
    </xdr:from>
    <xdr:to>
      <xdr:col>6</xdr:col>
      <xdr:colOff>284054</xdr:colOff>
      <xdr:row>179</xdr:row>
      <xdr:rowOff>81946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250" y="22486938"/>
          <a:ext cx="7209524" cy="482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168</xdr:row>
      <xdr:rowOff>123825</xdr:rowOff>
    </xdr:from>
    <xdr:to>
      <xdr:col>24</xdr:col>
      <xdr:colOff>577318</xdr:colOff>
      <xdr:row>212</xdr:row>
      <xdr:rowOff>122830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3E3BBD-BB20-408D-BADE-0B45AB2DC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72825" y="31070550"/>
          <a:ext cx="10609524" cy="79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888206</xdr:colOff>
      <xdr:row>121</xdr:row>
      <xdr:rowOff>183357</xdr:rowOff>
    </xdr:from>
    <xdr:to>
      <xdr:col>26</xdr:col>
      <xdr:colOff>229658</xdr:colOff>
      <xdr:row>166</xdr:row>
      <xdr:rowOff>163291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122005-ABD1-4255-A4F4-F7A780196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51581" y="24031576"/>
          <a:ext cx="10449983" cy="8552434"/>
        </a:xfrm>
        <a:prstGeom prst="rect">
          <a:avLst/>
        </a:prstGeom>
      </xdr:spPr>
    </xdr:pic>
    <xdr:clientData/>
  </xdr:twoCellAnchor>
  <xdr:twoCellAnchor editAs="oneCell">
    <xdr:from>
      <xdr:col>10</xdr:col>
      <xdr:colOff>738187</xdr:colOff>
      <xdr:row>126</xdr:row>
      <xdr:rowOff>0</xdr:rowOff>
    </xdr:from>
    <xdr:to>
      <xdr:col>18</xdr:col>
      <xdr:colOff>170629</xdr:colOff>
      <xdr:row>170</xdr:row>
      <xdr:rowOff>179957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6B974BF-1477-4C6A-939A-D5EDAF275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20500" y="24800719"/>
          <a:ext cx="6433317" cy="85619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216</xdr:row>
      <xdr:rowOff>1</xdr:rowOff>
    </xdr:from>
    <xdr:to>
      <xdr:col>21</xdr:col>
      <xdr:colOff>220816</xdr:colOff>
      <xdr:row>299</xdr:row>
      <xdr:rowOff>104776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3C8E272-3CFE-40C3-AA5A-F240557E2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39633526"/>
          <a:ext cx="8450416" cy="1512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66675</xdr:colOff>
      <xdr:row>95</xdr:row>
      <xdr:rowOff>59817</xdr:rowOff>
    </xdr:from>
    <xdr:to>
      <xdr:col>34</xdr:col>
      <xdr:colOff>522796</xdr:colOff>
      <xdr:row>118</xdr:row>
      <xdr:rowOff>132352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864C592-BCFC-42B7-B94E-60F311D0D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907625" y="17671542"/>
          <a:ext cx="4723320" cy="4358785"/>
        </a:xfrm>
        <a:prstGeom prst="rect">
          <a:avLst/>
        </a:prstGeom>
      </xdr:spPr>
    </xdr:pic>
    <xdr:clientData/>
  </xdr:twoCellAnchor>
  <xdr:twoCellAnchor editAs="oneCell">
    <xdr:from>
      <xdr:col>19</xdr:col>
      <xdr:colOff>594737</xdr:colOff>
      <xdr:row>95</xdr:row>
      <xdr:rowOff>0</xdr:rowOff>
    </xdr:from>
    <xdr:to>
      <xdr:col>26</xdr:col>
      <xdr:colOff>18251</xdr:colOff>
      <xdr:row>118</xdr:row>
      <xdr:rowOff>180008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4F954C6-01E5-4466-BFFD-122A85FF8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558887" y="17611725"/>
          <a:ext cx="3690713" cy="44662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809625</xdr:colOff>
      <xdr:row>77</xdr:row>
      <xdr:rowOff>19844</xdr:rowOff>
    </xdr:from>
    <xdr:to>
      <xdr:col>16</xdr:col>
      <xdr:colOff>356681</xdr:colOff>
      <xdr:row>96</xdr:row>
      <xdr:rowOff>3449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15045532"/>
          <a:ext cx="7024181" cy="360310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95</xdr:row>
      <xdr:rowOff>104775</xdr:rowOff>
    </xdr:from>
    <xdr:to>
      <xdr:col>5</xdr:col>
      <xdr:colOff>480191</xdr:colOff>
      <xdr:row>140</xdr:row>
      <xdr:rowOff>103757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411299-4211-45CD-AF2E-B37F51C2A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17640300"/>
          <a:ext cx="6571429" cy="8142857"/>
        </a:xfrm>
        <a:prstGeom prst="rect">
          <a:avLst/>
        </a:prstGeom>
      </xdr:spPr>
    </xdr:pic>
    <xdr:clientData/>
  </xdr:twoCellAnchor>
  <xdr:twoCellAnchor editAs="oneCell">
    <xdr:from>
      <xdr:col>7</xdr:col>
      <xdr:colOff>233013</xdr:colOff>
      <xdr:row>98</xdr:row>
      <xdr:rowOff>9525</xdr:rowOff>
    </xdr:from>
    <xdr:to>
      <xdr:col>17</xdr:col>
      <xdr:colOff>282416</xdr:colOff>
      <xdr:row>179</xdr:row>
      <xdr:rowOff>52388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E2D896-55A3-45B2-8DAE-AF37CD4AD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91088" y="18087975"/>
          <a:ext cx="10219722" cy="1490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7055</xdr:colOff>
      <xdr:row>74</xdr:row>
      <xdr:rowOff>118056</xdr:rowOff>
    </xdr:from>
    <xdr:to>
      <xdr:col>7</xdr:col>
      <xdr:colOff>354089</xdr:colOff>
      <xdr:row>98</xdr:row>
      <xdr:rowOff>30824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038667"/>
          <a:ext cx="7488667" cy="43154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11</xdr:col>
      <xdr:colOff>13486</xdr:colOff>
      <xdr:row>144</xdr:row>
      <xdr:rowOff>76248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CE8F3-5823-4BEE-B90E-4ADA7F3F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9667" y="19312467"/>
          <a:ext cx="10647619" cy="8085714"/>
        </a:xfrm>
        <a:prstGeom prst="rect">
          <a:avLst/>
        </a:prstGeom>
      </xdr:spPr>
    </xdr:pic>
    <xdr:clientData/>
  </xdr:twoCellAnchor>
  <xdr:twoCellAnchor editAs="oneCell">
    <xdr:from>
      <xdr:col>11</xdr:col>
      <xdr:colOff>33867</xdr:colOff>
      <xdr:row>66</xdr:row>
      <xdr:rowOff>177800</xdr:rowOff>
    </xdr:from>
    <xdr:to>
      <xdr:col>17</xdr:col>
      <xdr:colOff>307324</xdr:colOff>
      <xdr:row>110</xdr:row>
      <xdr:rowOff>97409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BF3080-A400-4DCC-A9E1-32E46E1B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7667" y="12962467"/>
          <a:ext cx="5209524" cy="81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70</xdr:row>
      <xdr:rowOff>0</xdr:rowOff>
    </xdr:from>
    <xdr:to>
      <xdr:col>17</xdr:col>
      <xdr:colOff>46319</xdr:colOff>
      <xdr:row>113</xdr:row>
      <xdr:rowOff>132361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420A5-FB6D-4384-A78C-636AFD56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0" y="12830175"/>
          <a:ext cx="10447619" cy="79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pageSetUpPr fitToPage="1"/>
  </sheetPr>
  <dimension ref="A1:R153"/>
  <sheetViews>
    <sheetView tabSelected="1" topLeftCell="A46" zoomScale="80" zoomScaleNormal="80" workbookViewId="0">
      <pane xSplit="3" ySplit="1" topLeftCell="D47" activePane="bottomRight" state="frozen"/>
      <selection activeCell="A46" sqref="A46"/>
      <selection pane="topRight" activeCell="D46" sqref="D46"/>
      <selection pane="bottomLeft" activeCell="A47" sqref="A47"/>
      <selection pane="bottomRight" activeCell="A46" sqref="A46"/>
    </sheetView>
  </sheetViews>
  <sheetFormatPr defaultRowHeight="15" x14ac:dyDescent="0.25"/>
  <cols>
    <col min="1" max="1" width="3.5703125" customWidth="1"/>
    <col min="2" max="2" width="5" customWidth="1"/>
    <col min="3" max="3" width="43.85546875" customWidth="1"/>
    <col min="4" max="5" width="16.42578125" customWidth="1"/>
    <col min="6" max="6" width="13.42578125" customWidth="1"/>
    <col min="7" max="7" width="15.42578125" customWidth="1"/>
    <col min="8" max="9" width="13.7109375" customWidth="1"/>
    <col min="10" max="11" width="13.42578125" customWidth="1"/>
    <col min="12" max="12" width="13.5703125" customWidth="1"/>
    <col min="13" max="13" width="13.85546875" customWidth="1"/>
    <col min="14" max="14" width="13.7109375" customWidth="1"/>
    <col min="15" max="15" width="14.28515625" customWidth="1"/>
    <col min="16" max="16" width="13.28515625" customWidth="1"/>
    <col min="17" max="17" width="10.5703125" customWidth="1"/>
    <col min="18" max="18" width="15.7109375" customWidth="1"/>
  </cols>
  <sheetData>
    <row r="1" spans="1:18" ht="18.75" x14ac:dyDescent="0.3">
      <c r="A1" s="75" t="s">
        <v>67</v>
      </c>
    </row>
    <row r="3" spans="1:18" x14ac:dyDescent="0.25">
      <c r="B3" t="s">
        <v>50</v>
      </c>
    </row>
    <row r="4" spans="1:18" x14ac:dyDescent="0.25">
      <c r="C4" t="s">
        <v>102</v>
      </c>
      <c r="D4" s="173">
        <v>44866</v>
      </c>
      <c r="E4" s="1"/>
    </row>
    <row r="5" spans="1:18" x14ac:dyDescent="0.25">
      <c r="C5" t="s">
        <v>103</v>
      </c>
      <c r="D5" s="173">
        <f>D4+18*30</f>
        <v>45406</v>
      </c>
      <c r="E5" s="1"/>
    </row>
    <row r="6" spans="1:18" x14ac:dyDescent="0.25">
      <c r="C6" t="s">
        <v>104</v>
      </c>
      <c r="D6" s="173">
        <v>44104</v>
      </c>
      <c r="E6" s="1" t="s">
        <v>105</v>
      </c>
    </row>
    <row r="7" spans="1:18" x14ac:dyDescent="0.25">
      <c r="D7" s="1"/>
      <c r="E7" s="1"/>
    </row>
    <row r="8" spans="1:18" x14ac:dyDescent="0.25">
      <c r="C8" s="77" t="s">
        <v>51</v>
      </c>
      <c r="D8" s="38"/>
      <c r="E8" s="43"/>
    </row>
    <row r="9" spans="1:18" x14ac:dyDescent="0.25">
      <c r="C9" t="s">
        <v>60</v>
      </c>
      <c r="D9" s="107"/>
      <c r="E9" s="43"/>
    </row>
    <row r="10" spans="1:18" x14ac:dyDescent="0.25">
      <c r="C10" t="s">
        <v>78</v>
      </c>
      <c r="D10" s="7"/>
      <c r="F10" s="70"/>
    </row>
    <row r="11" spans="1:18" x14ac:dyDescent="0.25">
      <c r="C11" t="s">
        <v>0</v>
      </c>
      <c r="D11" s="21"/>
      <c r="F11" s="70"/>
    </row>
    <row r="12" spans="1:18" x14ac:dyDescent="0.25">
      <c r="C12" t="s">
        <v>59</v>
      </c>
      <c r="D12" s="86"/>
      <c r="F12" s="70"/>
    </row>
    <row r="13" spans="1:18" x14ac:dyDescent="0.25">
      <c r="C13" t="s">
        <v>23</v>
      </c>
      <c r="D13" s="61"/>
      <c r="F13" s="70"/>
      <c r="H13" s="119"/>
      <c r="I13" s="119" t="s">
        <v>100</v>
      </c>
      <c r="J13" s="117" t="s">
        <v>99</v>
      </c>
    </row>
    <row r="14" spans="1:18" ht="18.75" x14ac:dyDescent="0.3">
      <c r="A14" s="31" t="s">
        <v>1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</row>
    <row r="15" spans="1:18" ht="45" x14ac:dyDescent="0.25">
      <c r="A15" s="4"/>
      <c r="B15" s="4"/>
      <c r="C15" s="4" t="s">
        <v>3</v>
      </c>
      <c r="D15" s="20" t="s">
        <v>80</v>
      </c>
      <c r="E15" s="20" t="s">
        <v>79</v>
      </c>
      <c r="F15" s="22" t="s">
        <v>76</v>
      </c>
      <c r="G15" s="4">
        <v>2018</v>
      </c>
      <c r="H15" s="4">
        <v>2019</v>
      </c>
      <c r="I15" s="101">
        <v>2020</v>
      </c>
      <c r="J15" s="4">
        <v>2021</v>
      </c>
      <c r="K15" s="4">
        <v>2022</v>
      </c>
      <c r="L15" s="4">
        <v>2023</v>
      </c>
      <c r="M15" s="4">
        <v>2024</v>
      </c>
      <c r="N15" s="4">
        <v>2025</v>
      </c>
      <c r="O15" s="4">
        <v>2026</v>
      </c>
      <c r="P15" s="4">
        <v>2027</v>
      </c>
      <c r="Q15" s="4">
        <v>2028</v>
      </c>
      <c r="R15" s="22" t="s">
        <v>34</v>
      </c>
    </row>
    <row r="16" spans="1:18" x14ac:dyDescent="0.25">
      <c r="A16" s="3" t="s">
        <v>5</v>
      </c>
      <c r="B16" s="3"/>
      <c r="C16" s="3"/>
      <c r="D16" s="5"/>
      <c r="E16" s="108"/>
      <c r="F16" s="111"/>
      <c r="G16" s="93"/>
      <c r="H16" s="112"/>
      <c r="I16" s="102"/>
      <c r="J16" s="6"/>
      <c r="K16" s="6"/>
      <c r="L16" s="6"/>
      <c r="M16" s="6"/>
      <c r="N16" s="6"/>
      <c r="O16" s="6"/>
      <c r="P16" s="6"/>
      <c r="Q16" s="6"/>
      <c r="R16" s="29"/>
    </row>
    <row r="17" spans="1:18" x14ac:dyDescent="0.25">
      <c r="A17" s="3"/>
      <c r="B17" s="3"/>
      <c r="C17" s="3" t="s">
        <v>6</v>
      </c>
      <c r="D17" s="7">
        <f>'1 North Wenatchee Ave'!D12+'2 Confluence Parkway'!D12+'3 Cascade Int'!D12+'4 Sunset Highway'!D12</f>
        <v>11000000</v>
      </c>
      <c r="E17" s="107">
        <f>'1 North Wenatchee Ave'!E12+'2 Confluence Parkway'!E12+'3 Cascade Int'!E12+'4 Sunset Highway'!E12</f>
        <v>15134981.064750001</v>
      </c>
      <c r="F17" s="96">
        <f>'1 North Wenatchee Ave'!F12+'2 Confluence Parkway'!F12+'3 Cascade Int'!F12+'4 Sunset Highway'!F12</f>
        <v>274092.44890000008</v>
      </c>
      <c r="G17" s="28">
        <f>'1 North Wenatchee Ave'!G12+'2 Confluence Parkway'!G12+'3 Cascade Int'!G12+'4 Sunset Highway'!G12</f>
        <v>479309.2649999999</v>
      </c>
      <c r="H17" s="28">
        <f>'1 North Wenatchee Ave'!H12+'2 Confluence Parkway'!H12+'3 Cascade Int'!H12+'4 Sunset Highway'!H12</f>
        <v>494034.90944999992</v>
      </c>
      <c r="I17" s="41">
        <f>'1 North Wenatchee Ave'!I12+'2 Confluence Parkway'!I12+'3 Cascade Int'!I12+'4 Sunset Highway'!I12</f>
        <v>847492.25139999995</v>
      </c>
      <c r="J17" s="28">
        <f>'1 North Wenatchee Ave'!J12+'2 Confluence Parkway'!J12+'3 Cascade Int'!J12+'4 Sunset Highway'!J12</f>
        <v>2040052.19</v>
      </c>
      <c r="K17" s="28">
        <f>'1 North Wenatchee Ave'!K12+'2 Confluence Parkway'!K12+'3 Cascade Int'!K12+'4 Sunset Highway'!K12</f>
        <v>3500000</v>
      </c>
      <c r="L17" s="28">
        <f>'1 North Wenatchee Ave'!L12+'2 Confluence Parkway'!L12+'3 Cascade Int'!L12+'4 Sunset Highway'!L12</f>
        <v>7500000</v>
      </c>
      <c r="M17" s="28">
        <f>'1 North Wenatchee Ave'!M12+'2 Confluence Parkway'!M12+'3 Cascade Int'!M12+'4 Sunset Highway'!M12</f>
        <v>0</v>
      </c>
      <c r="N17" s="28">
        <f>'1 North Wenatchee Ave'!N12+'2 Confluence Parkway'!N12+'3 Cascade Int'!N12+'4 Sunset Highway'!N12</f>
        <v>0</v>
      </c>
      <c r="O17" s="28">
        <f>'1 North Wenatchee Ave'!O12+'2 Confluence Parkway'!O12+'3 Cascade Int'!O12+'4 Sunset Highway'!O12</f>
        <v>0</v>
      </c>
      <c r="P17" s="28">
        <f>'1 North Wenatchee Ave'!P12+'2 Confluence Parkway'!P12+'3 Cascade Int'!P12+'4 Sunset Highway'!P12</f>
        <v>0</v>
      </c>
      <c r="Q17" s="41">
        <f>'1 North Wenatchee Ave'!Q12+'2 Confluence Parkway'!Q12+'3 Cascade Int'!Q12+'4 Sunset Highway'!Q12</f>
        <v>0</v>
      </c>
      <c r="R17" s="29">
        <f t="shared" ref="R17:R43" si="0">SUM(G17:Q17)</f>
        <v>14860888.61585</v>
      </c>
    </row>
    <row r="18" spans="1:18" x14ac:dyDescent="0.25">
      <c r="A18" s="3"/>
      <c r="B18" s="3"/>
      <c r="C18" s="3" t="s">
        <v>70</v>
      </c>
      <c r="D18" s="7">
        <f>'1 North Wenatchee Ave'!D13+'2 Confluence Parkway'!D13+'3 Cascade Int'!D13+'4 Sunset Highway'!D13</f>
        <v>0</v>
      </c>
      <c r="E18" s="107">
        <f>'1 North Wenatchee Ave'!E13+'2 Confluence Parkway'!E13+'3 Cascade Int'!E13+'4 Sunset Highway'!E13</f>
        <v>264082</v>
      </c>
      <c r="F18" s="96">
        <f>'1 North Wenatchee Ave'!F13+'2 Confluence Parkway'!F13+'3 Cascade Int'!F13+'4 Sunset Highway'!F13</f>
        <v>264082</v>
      </c>
      <c r="G18" s="28">
        <f>'1 North Wenatchee Ave'!G13+'2 Confluence Parkway'!G13+'3 Cascade Int'!G13+'4 Sunset Highway'!G13</f>
        <v>0</v>
      </c>
      <c r="H18" s="28">
        <f>'1 North Wenatchee Ave'!H13+'2 Confluence Parkway'!H13+'3 Cascade Int'!H13+'4 Sunset Highway'!H13</f>
        <v>0</v>
      </c>
      <c r="I18" s="41">
        <f>'1 North Wenatchee Ave'!I13+'2 Confluence Parkway'!I13+'3 Cascade Int'!I13+'4 Sunset Highway'!I13</f>
        <v>0</v>
      </c>
      <c r="J18" s="28">
        <f>'1 North Wenatchee Ave'!J13+'2 Confluence Parkway'!J13+'3 Cascade Int'!J13+'4 Sunset Highway'!J13</f>
        <v>0</v>
      </c>
      <c r="K18" s="28">
        <f>'1 North Wenatchee Ave'!K13+'2 Confluence Parkway'!K13+'3 Cascade Int'!K13+'4 Sunset Highway'!K13</f>
        <v>0</v>
      </c>
      <c r="L18" s="28">
        <f>'1 North Wenatchee Ave'!L13+'2 Confluence Parkway'!L13+'3 Cascade Int'!L13+'4 Sunset Highway'!L13</f>
        <v>0</v>
      </c>
      <c r="M18" s="28">
        <f>'1 North Wenatchee Ave'!M13+'2 Confluence Parkway'!M13+'3 Cascade Int'!M13+'4 Sunset Highway'!M13</f>
        <v>0</v>
      </c>
      <c r="N18" s="28">
        <f>'1 North Wenatchee Ave'!N13+'2 Confluence Parkway'!N13+'3 Cascade Int'!N13+'4 Sunset Highway'!N13</f>
        <v>0</v>
      </c>
      <c r="O18" s="28">
        <f>'1 North Wenatchee Ave'!O13+'2 Confluence Parkway'!O13+'3 Cascade Int'!O13+'4 Sunset Highway'!O13</f>
        <v>0</v>
      </c>
      <c r="P18" s="28">
        <f>'1 North Wenatchee Ave'!P13+'2 Confluence Parkway'!P13+'3 Cascade Int'!P13+'4 Sunset Highway'!P13</f>
        <v>0</v>
      </c>
      <c r="Q18" s="41">
        <f>'1 North Wenatchee Ave'!Q13+'2 Confluence Parkway'!Q13+'3 Cascade Int'!Q13+'4 Sunset Highway'!Q13</f>
        <v>0</v>
      </c>
      <c r="R18" s="29">
        <f t="shared" si="0"/>
        <v>0</v>
      </c>
    </row>
    <row r="19" spans="1:18" x14ac:dyDescent="0.25">
      <c r="A19" s="3"/>
      <c r="B19" s="3"/>
      <c r="C19" s="3" t="s">
        <v>16</v>
      </c>
      <c r="D19" s="7">
        <f>'1 North Wenatchee Ave'!D14+'2 Confluence Parkway'!D14+'3 Cascade Int'!D14+'4 Sunset Highway'!D14</f>
        <v>0</v>
      </c>
      <c r="E19" s="107">
        <f>'1 North Wenatchee Ave'!E14+'2 Confluence Parkway'!E14+'3 Cascade Int'!E14+'4 Sunset Highway'!E14</f>
        <v>570000</v>
      </c>
      <c r="F19" s="96">
        <f>'1 North Wenatchee Ave'!F14+'2 Confluence Parkway'!F14+'3 Cascade Int'!F14+'4 Sunset Highway'!F14</f>
        <v>570000</v>
      </c>
      <c r="G19" s="28">
        <f>'1 North Wenatchee Ave'!G14+'2 Confluence Parkway'!G14+'3 Cascade Int'!G14+'4 Sunset Highway'!G14</f>
        <v>0</v>
      </c>
      <c r="H19" s="28">
        <f>'1 North Wenatchee Ave'!H14+'2 Confluence Parkway'!H14+'3 Cascade Int'!H14+'4 Sunset Highway'!H14</f>
        <v>0</v>
      </c>
      <c r="I19" s="41">
        <f>'1 North Wenatchee Ave'!I14+'2 Confluence Parkway'!I14+'3 Cascade Int'!I14+'4 Sunset Highway'!I14</f>
        <v>0</v>
      </c>
      <c r="J19" s="28">
        <f>'1 North Wenatchee Ave'!J14+'2 Confluence Parkway'!J14+'3 Cascade Int'!J14+'4 Sunset Highway'!J14</f>
        <v>0</v>
      </c>
      <c r="K19" s="28">
        <f>'1 North Wenatchee Ave'!K14+'2 Confluence Parkway'!K14+'3 Cascade Int'!K14+'4 Sunset Highway'!K14</f>
        <v>0</v>
      </c>
      <c r="L19" s="28">
        <f>'1 North Wenatchee Ave'!L14+'2 Confluence Parkway'!L14+'3 Cascade Int'!L14+'4 Sunset Highway'!L14</f>
        <v>0</v>
      </c>
      <c r="M19" s="28">
        <f>'1 North Wenatchee Ave'!M14+'2 Confluence Parkway'!M14+'3 Cascade Int'!M14+'4 Sunset Highway'!M14</f>
        <v>0</v>
      </c>
      <c r="N19" s="28">
        <f>'1 North Wenatchee Ave'!N14+'2 Confluence Parkway'!N14+'3 Cascade Int'!N14+'4 Sunset Highway'!N14</f>
        <v>0</v>
      </c>
      <c r="O19" s="28">
        <f>'1 North Wenatchee Ave'!O14+'2 Confluence Parkway'!O14+'3 Cascade Int'!O14+'4 Sunset Highway'!O14</f>
        <v>0</v>
      </c>
      <c r="P19" s="28">
        <f>'1 North Wenatchee Ave'!P14+'2 Confluence Parkway'!P14+'3 Cascade Int'!P14+'4 Sunset Highway'!P14</f>
        <v>0</v>
      </c>
      <c r="Q19" s="41">
        <f>'1 North Wenatchee Ave'!Q14+'2 Confluence Parkway'!Q14+'3 Cascade Int'!Q14+'4 Sunset Highway'!Q14</f>
        <v>0</v>
      </c>
      <c r="R19" s="29">
        <f t="shared" si="0"/>
        <v>0</v>
      </c>
    </row>
    <row r="20" spans="1:18" x14ac:dyDescent="0.25">
      <c r="A20" s="3"/>
      <c r="B20" s="3"/>
      <c r="C20" s="3" t="s">
        <v>8</v>
      </c>
      <c r="D20" s="7">
        <f>'1 North Wenatchee Ave'!D15+'2 Confluence Parkway'!D15+'3 Cascade Int'!D15+'4 Sunset Highway'!D15</f>
        <v>0</v>
      </c>
      <c r="E20" s="107">
        <f>'1 North Wenatchee Ave'!E15+'2 Confluence Parkway'!E15+'3 Cascade Int'!E15+'4 Sunset Highway'!E15</f>
        <v>400000</v>
      </c>
      <c r="F20" s="96">
        <f>'1 North Wenatchee Ave'!F15+'2 Confluence Parkway'!F15+'3 Cascade Int'!F15+'4 Sunset Highway'!F15</f>
        <v>0</v>
      </c>
      <c r="G20" s="28">
        <f>'1 North Wenatchee Ave'!G15+'2 Confluence Parkway'!G15+'3 Cascade Int'!G15+'4 Sunset Highway'!G15</f>
        <v>0</v>
      </c>
      <c r="H20" s="28">
        <f>'1 North Wenatchee Ave'!H15+'2 Confluence Parkway'!H15+'3 Cascade Int'!H15+'4 Sunset Highway'!H15</f>
        <v>0</v>
      </c>
      <c r="I20" s="41">
        <f>'1 North Wenatchee Ave'!I15+'2 Confluence Parkway'!I15+'3 Cascade Int'!I15+'4 Sunset Highway'!I15</f>
        <v>250000</v>
      </c>
      <c r="J20" s="28">
        <f>'1 North Wenatchee Ave'!J15+'2 Confluence Parkway'!J15+'3 Cascade Int'!J15+'4 Sunset Highway'!J15</f>
        <v>150000</v>
      </c>
      <c r="K20" s="28">
        <f>'1 North Wenatchee Ave'!K15+'2 Confluence Parkway'!K15+'3 Cascade Int'!K15+'4 Sunset Highway'!K15</f>
        <v>0</v>
      </c>
      <c r="L20" s="28">
        <f>'1 North Wenatchee Ave'!L15+'2 Confluence Parkway'!L15+'3 Cascade Int'!L15+'4 Sunset Highway'!L15</f>
        <v>0</v>
      </c>
      <c r="M20" s="28">
        <f>'1 North Wenatchee Ave'!M15+'2 Confluence Parkway'!M15+'3 Cascade Int'!M15+'4 Sunset Highway'!M15</f>
        <v>0</v>
      </c>
      <c r="N20" s="28">
        <f>'1 North Wenatchee Ave'!N15+'2 Confluence Parkway'!N15+'3 Cascade Int'!N15+'4 Sunset Highway'!N15</f>
        <v>0</v>
      </c>
      <c r="O20" s="28">
        <f>'1 North Wenatchee Ave'!O15+'2 Confluence Parkway'!O15+'3 Cascade Int'!O15+'4 Sunset Highway'!O15</f>
        <v>0</v>
      </c>
      <c r="P20" s="28">
        <f>'1 North Wenatchee Ave'!P15+'2 Confluence Parkway'!P15+'3 Cascade Int'!P15+'4 Sunset Highway'!P15</f>
        <v>0</v>
      </c>
      <c r="Q20" s="41">
        <f>'1 North Wenatchee Ave'!Q15+'2 Confluence Parkway'!Q15+'3 Cascade Int'!Q15+'4 Sunset Highway'!Q15</f>
        <v>0</v>
      </c>
      <c r="R20" s="29">
        <f t="shared" si="0"/>
        <v>400000</v>
      </c>
    </row>
    <row r="21" spans="1:18" x14ac:dyDescent="0.25">
      <c r="A21" s="3"/>
      <c r="B21" s="3"/>
      <c r="C21" s="3" t="s">
        <v>12</v>
      </c>
      <c r="D21" s="7">
        <f>'1 North Wenatchee Ave'!D16+'2 Confluence Parkway'!D16+'3 Cascade Int'!D16+'4 Sunset Highway'!D16</f>
        <v>1000000</v>
      </c>
      <c r="E21" s="107">
        <f>'1 North Wenatchee Ave'!E16+'2 Confluence Parkway'!E16+'3 Cascade Int'!E16+'4 Sunset Highway'!E16</f>
        <v>1000000</v>
      </c>
      <c r="F21" s="96">
        <f>'1 North Wenatchee Ave'!F16+'2 Confluence Parkway'!F16+'3 Cascade Int'!F16+'4 Sunset Highway'!F16</f>
        <v>0</v>
      </c>
      <c r="G21" s="28">
        <f>'1 North Wenatchee Ave'!G16+'2 Confluence Parkway'!G16+'3 Cascade Int'!G16+'4 Sunset Highway'!G16</f>
        <v>0</v>
      </c>
      <c r="H21" s="28">
        <f>'1 North Wenatchee Ave'!H16+'2 Confluence Parkway'!H16+'3 Cascade Int'!H16+'4 Sunset Highway'!H16</f>
        <v>0</v>
      </c>
      <c r="I21" s="41">
        <f>'1 North Wenatchee Ave'!I16+'2 Confluence Parkway'!I16+'3 Cascade Int'!I16+'4 Sunset Highway'!I16</f>
        <v>0</v>
      </c>
      <c r="J21" s="28">
        <f>'1 North Wenatchee Ave'!J16+'2 Confluence Parkway'!J16+'3 Cascade Int'!J16+'4 Sunset Highway'!J16</f>
        <v>0</v>
      </c>
      <c r="K21" s="28">
        <f>'1 North Wenatchee Ave'!K16+'2 Confluence Parkway'!K16+'3 Cascade Int'!K16+'4 Sunset Highway'!K16</f>
        <v>0</v>
      </c>
      <c r="L21" s="28">
        <f>'1 North Wenatchee Ave'!L16+'2 Confluence Parkway'!L16+'3 Cascade Int'!L16+'4 Sunset Highway'!L16</f>
        <v>0</v>
      </c>
      <c r="M21" s="28">
        <f>'1 North Wenatchee Ave'!M16+'2 Confluence Parkway'!M16+'3 Cascade Int'!M16+'4 Sunset Highway'!M16</f>
        <v>0</v>
      </c>
      <c r="N21" s="28">
        <f>'1 North Wenatchee Ave'!N16+'2 Confluence Parkway'!N16+'3 Cascade Int'!N16+'4 Sunset Highway'!N16</f>
        <v>1000000</v>
      </c>
      <c r="O21" s="28">
        <f>'1 North Wenatchee Ave'!O16+'2 Confluence Parkway'!O16+'3 Cascade Int'!O16+'4 Sunset Highway'!O16</f>
        <v>0</v>
      </c>
      <c r="P21" s="28">
        <f>'1 North Wenatchee Ave'!P16+'2 Confluence Parkway'!P16+'3 Cascade Int'!P16+'4 Sunset Highway'!P16</f>
        <v>0</v>
      </c>
      <c r="Q21" s="41">
        <f>'1 North Wenatchee Ave'!Q16+'2 Confluence Parkway'!Q16+'3 Cascade Int'!Q16+'4 Sunset Highway'!Q16</f>
        <v>0</v>
      </c>
      <c r="R21" s="29">
        <f t="shared" si="0"/>
        <v>1000000</v>
      </c>
    </row>
    <row r="22" spans="1:18" x14ac:dyDescent="0.25">
      <c r="A22" s="3"/>
      <c r="B22" s="3"/>
      <c r="C22" s="3" t="s">
        <v>41</v>
      </c>
      <c r="D22" s="7">
        <f>'1 North Wenatchee Ave'!D17+'2 Confluence Parkway'!D17+'3 Cascade Int'!D17+'4 Sunset Highway'!D17</f>
        <v>1500000</v>
      </c>
      <c r="E22" s="107">
        <f>'1 North Wenatchee Ave'!E17+'2 Confluence Parkway'!E17+'3 Cascade Int'!E17+'4 Sunset Highway'!E17</f>
        <v>3059000</v>
      </c>
      <c r="F22" s="96">
        <f>'1 North Wenatchee Ave'!F17+'2 Confluence Parkway'!F17+'3 Cascade Int'!F17+'4 Sunset Highway'!F17</f>
        <v>0</v>
      </c>
      <c r="G22" s="28">
        <f>'1 North Wenatchee Ave'!G17+'2 Confluence Parkway'!G17+'3 Cascade Int'!G17+'4 Sunset Highway'!G17</f>
        <v>859000</v>
      </c>
      <c r="H22" s="28">
        <f>'1 North Wenatchee Ave'!H17+'2 Confluence Parkway'!H17+'3 Cascade Int'!H17+'4 Sunset Highway'!H17</f>
        <v>93899</v>
      </c>
      <c r="I22" s="41">
        <f>'1 North Wenatchee Ave'!I17+'2 Confluence Parkway'!I17+'3 Cascade Int'!I17+'4 Sunset Highway'!I17</f>
        <v>106101</v>
      </c>
      <c r="J22" s="28">
        <f>'1 North Wenatchee Ave'!J17+'2 Confluence Parkway'!J17+'3 Cascade Int'!J17+'4 Sunset Highway'!J17</f>
        <v>500000</v>
      </c>
      <c r="K22" s="28">
        <f>'1 North Wenatchee Ave'!K17+'2 Confluence Parkway'!K17+'3 Cascade Int'!K17+'4 Sunset Highway'!K17</f>
        <v>500000</v>
      </c>
      <c r="L22" s="28">
        <f>'1 North Wenatchee Ave'!L17+'2 Confluence Parkway'!L17+'3 Cascade Int'!L17+'4 Sunset Highway'!L17</f>
        <v>1000000</v>
      </c>
      <c r="M22" s="28">
        <f>'1 North Wenatchee Ave'!M17+'2 Confluence Parkway'!M17+'3 Cascade Int'!M17+'4 Sunset Highway'!M17</f>
        <v>0</v>
      </c>
      <c r="N22" s="28">
        <f>'1 North Wenatchee Ave'!N17+'2 Confluence Parkway'!N17+'3 Cascade Int'!N17+'4 Sunset Highway'!N17</f>
        <v>0</v>
      </c>
      <c r="O22" s="28">
        <f>'1 North Wenatchee Ave'!O17+'2 Confluence Parkway'!O17+'3 Cascade Int'!O17+'4 Sunset Highway'!O17</f>
        <v>0</v>
      </c>
      <c r="P22" s="28">
        <f>'1 North Wenatchee Ave'!P17+'2 Confluence Parkway'!P17+'3 Cascade Int'!P17+'4 Sunset Highway'!P17</f>
        <v>0</v>
      </c>
      <c r="Q22" s="41">
        <f>'1 North Wenatchee Ave'!Q17+'2 Confluence Parkway'!Q17+'3 Cascade Int'!Q17+'4 Sunset Highway'!Q17</f>
        <v>0</v>
      </c>
      <c r="R22" s="29">
        <f t="shared" si="0"/>
        <v>3059000</v>
      </c>
    </row>
    <row r="23" spans="1:18" x14ac:dyDescent="0.25">
      <c r="A23" s="3"/>
      <c r="B23" s="3"/>
      <c r="C23" s="3"/>
      <c r="D23" s="9"/>
      <c r="E23" s="109"/>
      <c r="F23" s="97"/>
      <c r="G23" s="28"/>
      <c r="H23" s="28"/>
      <c r="I23" s="41"/>
      <c r="J23" s="8"/>
      <c r="K23" s="8"/>
      <c r="L23" s="8"/>
      <c r="M23" s="8"/>
      <c r="N23" s="8"/>
      <c r="O23" s="8"/>
      <c r="P23" s="8"/>
      <c r="Q23" s="8"/>
      <c r="R23" s="29">
        <f t="shared" si="0"/>
        <v>0</v>
      </c>
    </row>
    <row r="24" spans="1:18" x14ac:dyDescent="0.25">
      <c r="A24" s="3"/>
      <c r="B24" s="3" t="s">
        <v>19</v>
      </c>
      <c r="C24" s="3"/>
      <c r="D24" s="7">
        <f>SUM(D17:D23)</f>
        <v>13500000</v>
      </c>
      <c r="E24" s="107">
        <f>SUM(E17:E23)</f>
        <v>20428063.064750001</v>
      </c>
      <c r="F24" s="96">
        <f>SUM(F17:F23)</f>
        <v>1108174.4489000002</v>
      </c>
      <c r="G24" s="68">
        <f>SUM(G17:G23)</f>
        <v>1338309.2649999999</v>
      </c>
      <c r="H24" s="68">
        <f t="shared" ref="H24:Q24" si="1">SUM(H17:H23)</f>
        <v>587933.90944999992</v>
      </c>
      <c r="I24" s="69">
        <f t="shared" si="1"/>
        <v>1203593.2514</v>
      </c>
      <c r="J24" s="68">
        <f t="shared" si="1"/>
        <v>2690052.19</v>
      </c>
      <c r="K24" s="68">
        <f t="shared" si="1"/>
        <v>4000000</v>
      </c>
      <c r="L24" s="68">
        <f t="shared" si="1"/>
        <v>8500000</v>
      </c>
      <c r="M24" s="68">
        <f t="shared" si="1"/>
        <v>0</v>
      </c>
      <c r="N24" s="68">
        <f t="shared" si="1"/>
        <v>1000000</v>
      </c>
      <c r="O24" s="68">
        <f t="shared" si="1"/>
        <v>0</v>
      </c>
      <c r="P24" s="68">
        <f t="shared" si="1"/>
        <v>0</v>
      </c>
      <c r="Q24" s="69">
        <f t="shared" si="1"/>
        <v>0</v>
      </c>
      <c r="R24" s="29">
        <f t="shared" si="0"/>
        <v>19319888.615850002</v>
      </c>
    </row>
    <row r="25" spans="1:18" x14ac:dyDescent="0.25">
      <c r="A25" s="3" t="s">
        <v>4</v>
      </c>
      <c r="B25" s="3"/>
      <c r="C25" s="3"/>
      <c r="D25" s="7"/>
      <c r="E25" s="107"/>
      <c r="F25" s="96"/>
      <c r="G25" s="28"/>
      <c r="H25" s="28"/>
      <c r="I25" s="41"/>
      <c r="J25" s="8"/>
      <c r="K25" s="8"/>
      <c r="L25" s="8"/>
      <c r="M25" s="8"/>
      <c r="N25" s="8"/>
      <c r="O25" s="8"/>
      <c r="P25" s="8"/>
      <c r="Q25" s="8"/>
      <c r="R25" s="29">
        <f t="shared" si="0"/>
        <v>0</v>
      </c>
    </row>
    <row r="26" spans="1:18" x14ac:dyDescent="0.25">
      <c r="A26" s="3"/>
      <c r="B26" s="3"/>
      <c r="C26" s="3" t="s">
        <v>10</v>
      </c>
      <c r="D26" s="7">
        <f>'1 North Wenatchee Ave'!D21+'2 Confluence Parkway'!D21+'3 Cascade Int'!D21+'4 Sunset Highway'!D21</f>
        <v>0</v>
      </c>
      <c r="E26" s="107">
        <f>'1 North Wenatchee Ave'!E21+'2 Confluence Parkway'!E21+'3 Cascade Int'!E21+'4 Sunset Highway'!E21</f>
        <v>0</v>
      </c>
      <c r="F26" s="96">
        <f>'1 North Wenatchee Ave'!F21+'2 Confluence Parkway'!F21+'3 Cascade Int'!F21+'4 Sunset Highway'!F21</f>
        <v>0</v>
      </c>
      <c r="G26" s="28">
        <f>'1 North Wenatchee Ave'!G21+'2 Confluence Parkway'!G21+'3 Cascade Int'!G21+'4 Sunset Highway'!G21</f>
        <v>0</v>
      </c>
      <c r="H26" s="28">
        <f>'1 North Wenatchee Ave'!H21+'2 Confluence Parkway'!H21+'3 Cascade Int'!H21+'4 Sunset Highway'!H21</f>
        <v>0</v>
      </c>
      <c r="I26" s="41">
        <f>'1 North Wenatchee Ave'!I21+'2 Confluence Parkway'!I21+'3 Cascade Int'!I21+'4 Sunset Highway'!I21</f>
        <v>0</v>
      </c>
      <c r="J26" s="28">
        <f>'1 North Wenatchee Ave'!J21+'2 Confluence Parkway'!J21+'3 Cascade Int'!J21+'4 Sunset Highway'!J21</f>
        <v>0</v>
      </c>
      <c r="K26" s="28">
        <f>'1 North Wenatchee Ave'!K21+'2 Confluence Parkway'!K21+'3 Cascade Int'!K21+'4 Sunset Highway'!K21</f>
        <v>0</v>
      </c>
      <c r="L26" s="28">
        <f>'1 North Wenatchee Ave'!L21+'2 Confluence Parkway'!L21+'3 Cascade Int'!L21+'4 Sunset Highway'!L21</f>
        <v>0</v>
      </c>
      <c r="M26" s="28">
        <f>'1 North Wenatchee Ave'!M21+'2 Confluence Parkway'!M21+'3 Cascade Int'!M21+'4 Sunset Highway'!M21</f>
        <v>0</v>
      </c>
      <c r="N26" s="28">
        <f>'1 North Wenatchee Ave'!N21+'2 Confluence Parkway'!N21+'3 Cascade Int'!N21+'4 Sunset Highway'!N21</f>
        <v>0</v>
      </c>
      <c r="O26" s="28">
        <f>'1 North Wenatchee Ave'!O21+'2 Confluence Parkway'!O21+'3 Cascade Int'!O21+'4 Sunset Highway'!O21</f>
        <v>0</v>
      </c>
      <c r="P26" s="28">
        <f>'1 North Wenatchee Ave'!P21+'2 Confluence Parkway'!P21+'3 Cascade Int'!P21+'4 Sunset Highway'!P21</f>
        <v>0</v>
      </c>
      <c r="Q26" s="41">
        <f>'1 North Wenatchee Ave'!Q21+'2 Confluence Parkway'!Q21+'3 Cascade Int'!Q21+'4 Sunset Highway'!Q21</f>
        <v>0</v>
      </c>
      <c r="R26" s="29">
        <f t="shared" si="0"/>
        <v>0</v>
      </c>
    </row>
    <row r="27" spans="1:18" x14ac:dyDescent="0.25">
      <c r="A27" s="3"/>
      <c r="B27" s="3"/>
      <c r="C27" s="3" t="s">
        <v>9</v>
      </c>
      <c r="D27" s="7">
        <f>'1 North Wenatchee Ave'!D22+'2 Confluence Parkway'!D22+'3 Cascade Int'!D22+'4 Sunset Highway'!D22</f>
        <v>0</v>
      </c>
      <c r="E27" s="107">
        <f>'1 North Wenatchee Ave'!E22+'2 Confluence Parkway'!E22+'3 Cascade Int'!E22+'4 Sunset Highway'!E22</f>
        <v>0</v>
      </c>
      <c r="F27" s="96">
        <f>'1 North Wenatchee Ave'!F22+'2 Confluence Parkway'!F22+'3 Cascade Int'!F22+'4 Sunset Highway'!F22</f>
        <v>0</v>
      </c>
      <c r="G27" s="28">
        <f>'1 North Wenatchee Ave'!G22+'2 Confluence Parkway'!G22+'3 Cascade Int'!G22+'4 Sunset Highway'!G22</f>
        <v>0</v>
      </c>
      <c r="H27" s="28">
        <f>'1 North Wenatchee Ave'!H22+'2 Confluence Parkway'!H22+'3 Cascade Int'!H22+'4 Sunset Highway'!H22</f>
        <v>0</v>
      </c>
      <c r="I27" s="41">
        <f>'1 North Wenatchee Ave'!I22+'2 Confluence Parkway'!I22+'3 Cascade Int'!I22+'4 Sunset Highway'!I22</f>
        <v>0</v>
      </c>
      <c r="J27" s="28">
        <f>'1 North Wenatchee Ave'!J22+'2 Confluence Parkway'!J22+'3 Cascade Int'!J22+'4 Sunset Highway'!J22</f>
        <v>0</v>
      </c>
      <c r="K27" s="28">
        <f>'1 North Wenatchee Ave'!K22+'2 Confluence Parkway'!K22+'3 Cascade Int'!K22+'4 Sunset Highway'!K22</f>
        <v>0</v>
      </c>
      <c r="L27" s="28">
        <f>'1 North Wenatchee Ave'!L22+'2 Confluence Parkway'!L22+'3 Cascade Int'!L22+'4 Sunset Highway'!L22</f>
        <v>0</v>
      </c>
      <c r="M27" s="28">
        <f>'1 North Wenatchee Ave'!M22+'2 Confluence Parkway'!M22+'3 Cascade Int'!M22+'4 Sunset Highway'!M22</f>
        <v>0</v>
      </c>
      <c r="N27" s="28">
        <f>'1 North Wenatchee Ave'!N22+'2 Confluence Parkway'!N22+'3 Cascade Int'!N22+'4 Sunset Highway'!N22</f>
        <v>0</v>
      </c>
      <c r="O27" s="28">
        <f>'1 North Wenatchee Ave'!O22+'2 Confluence Parkway'!O22+'3 Cascade Int'!O22+'4 Sunset Highway'!O22</f>
        <v>0</v>
      </c>
      <c r="P27" s="28">
        <f>'1 North Wenatchee Ave'!P22+'2 Confluence Parkway'!P22+'3 Cascade Int'!P22+'4 Sunset Highway'!P22</f>
        <v>0</v>
      </c>
      <c r="Q27" s="41">
        <f>'1 North Wenatchee Ave'!Q22+'2 Confluence Parkway'!Q22+'3 Cascade Int'!Q22+'4 Sunset Highway'!Q22</f>
        <v>0</v>
      </c>
      <c r="R27" s="29">
        <f t="shared" si="0"/>
        <v>0</v>
      </c>
    </row>
    <row r="28" spans="1:18" x14ac:dyDescent="0.25">
      <c r="A28" s="3"/>
      <c r="B28" s="3"/>
      <c r="C28" s="3" t="s">
        <v>101</v>
      </c>
      <c r="D28" s="7">
        <f>'1 North Wenatchee Ave'!D23+'2 Confluence Parkway'!D23+'3 Cascade Int'!D23+'4 Sunset Highway'!D23</f>
        <v>31924200</v>
      </c>
      <c r="E28" s="107">
        <f>'1 North Wenatchee Ave'!E23+'2 Confluence Parkway'!E23+'3 Cascade Int'!E23+'4 Sunset Highway'!E23</f>
        <v>31924200</v>
      </c>
      <c r="F28" s="96">
        <f>'1 North Wenatchee Ave'!F23+'2 Confluence Parkway'!F23+'3 Cascade Int'!F23+'4 Sunset Highway'!F23</f>
        <v>0</v>
      </c>
      <c r="G28" s="28">
        <f>'1 North Wenatchee Ave'!G23+'2 Confluence Parkway'!G23+'3 Cascade Int'!G23+'4 Sunset Highway'!G23</f>
        <v>0</v>
      </c>
      <c r="H28" s="28">
        <f>'1 North Wenatchee Ave'!H23+'2 Confluence Parkway'!H23+'3 Cascade Int'!H23+'4 Sunset Highway'!H23</f>
        <v>0</v>
      </c>
      <c r="I28" s="41">
        <f>'1 North Wenatchee Ave'!I23+'2 Confluence Parkway'!I23+'3 Cascade Int'!I23+'4 Sunset Highway'!I23</f>
        <v>0</v>
      </c>
      <c r="J28" s="28">
        <f>'1 North Wenatchee Ave'!J23+'2 Confluence Parkway'!J23+'3 Cascade Int'!J23+'4 Sunset Highway'!J23</f>
        <v>0</v>
      </c>
      <c r="K28" s="28">
        <f>'1 North Wenatchee Ave'!K23+'2 Confluence Parkway'!K23+'3 Cascade Int'!K23+'4 Sunset Highway'!K23</f>
        <v>0</v>
      </c>
      <c r="L28" s="28">
        <f>'1 North Wenatchee Ave'!L23+'2 Confluence Parkway'!L23+'3 Cascade Int'!L23+'4 Sunset Highway'!L23</f>
        <v>546000</v>
      </c>
      <c r="M28" s="28">
        <f>'1 North Wenatchee Ave'!M23+'2 Confluence Parkway'!M23+'3 Cascade Int'!M23+'4 Sunset Highway'!M23</f>
        <v>10400000</v>
      </c>
      <c r="N28" s="28">
        <f>'1 North Wenatchee Ave'!N23+'2 Confluence Parkway'!N23+'3 Cascade Int'!N23+'4 Sunset Highway'!N23</f>
        <v>20978200</v>
      </c>
      <c r="O28" s="28">
        <f>'1 North Wenatchee Ave'!O23+'2 Confluence Parkway'!O23+'3 Cascade Int'!O23+'4 Sunset Highway'!O23</f>
        <v>0</v>
      </c>
      <c r="P28" s="28">
        <f>'1 North Wenatchee Ave'!P23+'2 Confluence Parkway'!P23+'3 Cascade Int'!P23+'4 Sunset Highway'!P23</f>
        <v>0</v>
      </c>
      <c r="Q28" s="41">
        <f>'1 North Wenatchee Ave'!Q23+'2 Confluence Parkway'!Q23+'3 Cascade Int'!Q23+'4 Sunset Highway'!Q23</f>
        <v>0</v>
      </c>
      <c r="R28" s="29"/>
    </row>
    <row r="29" spans="1:18" x14ac:dyDescent="0.25">
      <c r="A29" s="3"/>
      <c r="B29" s="3"/>
      <c r="C29" s="3" t="s">
        <v>35</v>
      </c>
      <c r="D29" s="7">
        <f>'1 North Wenatchee Ave'!D24+'2 Confluence Parkway'!D24+'3 Cascade Int'!D24+'4 Sunset Highway'!D24</f>
        <v>55857089</v>
      </c>
      <c r="E29" s="107">
        <f>'1 North Wenatchee Ave'!E24+'2 Confluence Parkway'!E24+'3 Cascade Int'!E24+'4 Sunset Highway'!E24</f>
        <v>58522010</v>
      </c>
      <c r="F29" s="96">
        <f>'1 North Wenatchee Ave'!F24+'2 Confluence Parkway'!F24+'3 Cascade Int'!F24+'4 Sunset Highway'!F24</f>
        <v>19794</v>
      </c>
      <c r="G29" s="28">
        <f>'1 North Wenatchee Ave'!G24+'2 Confluence Parkway'!G24+'3 Cascade Int'!G24+'4 Sunset Highway'!G24</f>
        <v>3243</v>
      </c>
      <c r="H29" s="28">
        <f>'1 North Wenatchee Ave'!H24+'2 Confluence Parkway'!H24+'3 Cascade Int'!H24+'4 Sunset Highway'!H24</f>
        <v>308122</v>
      </c>
      <c r="I29" s="41">
        <f>'1 North Wenatchee Ave'!I24+'2 Confluence Parkway'!I24+'3 Cascade Int'!I24+'4 Sunset Highway'!I24</f>
        <v>2333762</v>
      </c>
      <c r="J29" s="28">
        <f>'1 North Wenatchee Ave'!J24+'2 Confluence Parkway'!J24+'3 Cascade Int'!J24+'4 Sunset Highway'!J24</f>
        <v>6083766</v>
      </c>
      <c r="K29" s="28">
        <f>'1 North Wenatchee Ave'!K24+'2 Confluence Parkway'!K24+'3 Cascade Int'!K24+'4 Sunset Highway'!K24</f>
        <v>9333764</v>
      </c>
      <c r="L29" s="28">
        <f>'1 North Wenatchee Ave'!L24+'2 Confluence Parkway'!L24+'3 Cascade Int'!L24+'4 Sunset Highway'!L24</f>
        <v>6333764</v>
      </c>
      <c r="M29" s="28">
        <f>'1 North Wenatchee Ave'!M24+'2 Confluence Parkway'!M24+'3 Cascade Int'!M24+'4 Sunset Highway'!M24</f>
        <v>7705795</v>
      </c>
      <c r="N29" s="28">
        <f>'1 North Wenatchee Ave'!N24+'2 Confluence Parkway'!N24+'3 Cascade Int'!N24+'4 Sunset Highway'!N24</f>
        <v>11400000</v>
      </c>
      <c r="O29" s="28">
        <f>'1 North Wenatchee Ave'!O24+'2 Confluence Parkway'!O24+'3 Cascade Int'!O24+'4 Sunset Highway'!O24</f>
        <v>10000000</v>
      </c>
      <c r="P29" s="28">
        <f>'1 North Wenatchee Ave'!P24+'2 Confluence Parkway'!P24+'3 Cascade Int'!P24+'4 Sunset Highway'!P24</f>
        <v>5000000</v>
      </c>
      <c r="Q29" s="41">
        <f>'1 North Wenatchee Ave'!Q24+'2 Confluence Parkway'!Q24+'3 Cascade Int'!Q24+'4 Sunset Highway'!Q24</f>
        <v>0</v>
      </c>
      <c r="R29" s="29">
        <f t="shared" si="0"/>
        <v>58502216</v>
      </c>
    </row>
    <row r="30" spans="1:18" x14ac:dyDescent="0.25">
      <c r="A30" s="3"/>
      <c r="B30" s="3"/>
      <c r="C30" s="3" t="s">
        <v>36</v>
      </c>
      <c r="D30" s="7">
        <f>'1 North Wenatchee Ave'!D25+'2 Confluence Parkway'!D25+'3 Cascade Int'!D25+'4 Sunset Highway'!D25</f>
        <v>21140693</v>
      </c>
      <c r="E30" s="107">
        <f>'1 North Wenatchee Ave'!E25+'2 Confluence Parkway'!E25+'3 Cascade Int'!E25+'4 Sunset Highway'!E25</f>
        <v>23000001</v>
      </c>
      <c r="F30" s="96">
        <f>'1 North Wenatchee Ave'!F25+'2 Confluence Parkway'!F25+'3 Cascade Int'!F25+'4 Sunset Highway'!F25</f>
        <v>0</v>
      </c>
      <c r="G30" s="28">
        <f>'1 North Wenatchee Ave'!G25+'2 Confluence Parkway'!G25+'3 Cascade Int'!G25+'4 Sunset Highway'!G25</f>
        <v>163576</v>
      </c>
      <c r="H30" s="28">
        <f>'1 North Wenatchee Ave'!H25+'2 Confluence Parkway'!H25+'3 Cascade Int'!H25+'4 Sunset Highway'!H25</f>
        <v>171700</v>
      </c>
      <c r="I30" s="41">
        <f>'1 North Wenatchee Ave'!I25+'2 Confluence Parkway'!I25+'3 Cascade Int'!I25+'4 Sunset Highway'!I25</f>
        <v>667099</v>
      </c>
      <c r="J30" s="28">
        <f>'1 North Wenatchee Ave'!J25+'2 Confluence Parkway'!J25+'3 Cascade Int'!J25+'4 Sunset Highway'!J25</f>
        <v>856933</v>
      </c>
      <c r="K30" s="28">
        <f>'1 North Wenatchee Ave'!K25+'2 Confluence Parkway'!K25+'3 Cascade Int'!K25+'4 Sunset Highway'!K25</f>
        <v>896216</v>
      </c>
      <c r="L30" s="28">
        <f>'1 North Wenatchee Ave'!L25+'2 Confluence Parkway'!L25+'3 Cascade Int'!L25+'4 Sunset Highway'!L25</f>
        <v>7543950</v>
      </c>
      <c r="M30" s="28">
        <f>'1 North Wenatchee Ave'!M25+'2 Confluence Parkway'!M25+'3 Cascade Int'!M25+'4 Sunset Highway'!M25</f>
        <v>7510817</v>
      </c>
      <c r="N30" s="28">
        <f>'1 North Wenatchee Ave'!N25+'2 Confluence Parkway'!N25+'3 Cascade Int'!N25+'4 Sunset Highway'!N25</f>
        <v>3732152</v>
      </c>
      <c r="O30" s="28">
        <f>'1 North Wenatchee Ave'!O25+'2 Confluence Parkway'!O25+'3 Cascade Int'!O25+'4 Sunset Highway'!O25</f>
        <v>1084884</v>
      </c>
      <c r="P30" s="28">
        <f>'1 North Wenatchee Ave'!P25+'2 Confluence Parkway'!P25+'3 Cascade Int'!P25+'4 Sunset Highway'!P25</f>
        <v>372674</v>
      </c>
      <c r="Q30" s="41">
        <f>'1 North Wenatchee Ave'!Q25+'2 Confluence Parkway'!Q25+'3 Cascade Int'!Q25+'4 Sunset Highway'!Q25</f>
        <v>0</v>
      </c>
      <c r="R30" s="29">
        <f t="shared" si="0"/>
        <v>23000001</v>
      </c>
    </row>
    <row r="31" spans="1:18" x14ac:dyDescent="0.25">
      <c r="A31" s="3"/>
      <c r="B31" s="3"/>
      <c r="C31" s="3" t="s">
        <v>38</v>
      </c>
      <c r="D31" s="7">
        <f>'1 North Wenatchee Ave'!D26+'2 Confluence Parkway'!D26+'3 Cascade Int'!D26+'4 Sunset Highway'!D26</f>
        <v>0</v>
      </c>
      <c r="E31" s="107">
        <f>'1 North Wenatchee Ave'!E26+'2 Confluence Parkway'!E26+'3 Cascade Int'!E26+'4 Sunset Highway'!E26</f>
        <v>138000</v>
      </c>
      <c r="F31" s="96">
        <f>'1 North Wenatchee Ave'!F26+'2 Confluence Parkway'!F26+'3 Cascade Int'!F26+'4 Sunset Highway'!F26</f>
        <v>25000</v>
      </c>
      <c r="G31" s="28">
        <f>'1 North Wenatchee Ave'!G26+'2 Confluence Parkway'!G26+'3 Cascade Int'!G26+'4 Sunset Highway'!G26</f>
        <v>113000</v>
      </c>
      <c r="H31" s="28">
        <f>'1 North Wenatchee Ave'!H26+'2 Confluence Parkway'!H26+'3 Cascade Int'!H26+'4 Sunset Highway'!H26</f>
        <v>0</v>
      </c>
      <c r="I31" s="41">
        <f>'1 North Wenatchee Ave'!I26+'2 Confluence Parkway'!I26+'3 Cascade Int'!I26+'4 Sunset Highway'!I26</f>
        <v>0</v>
      </c>
      <c r="J31" s="28">
        <f>'1 North Wenatchee Ave'!J26+'2 Confluence Parkway'!J26+'3 Cascade Int'!J26+'4 Sunset Highway'!J26</f>
        <v>0</v>
      </c>
      <c r="K31" s="28">
        <f>'1 North Wenatchee Ave'!K26+'2 Confluence Parkway'!K26+'3 Cascade Int'!K26+'4 Sunset Highway'!K26</f>
        <v>0</v>
      </c>
      <c r="L31" s="28">
        <f>'1 North Wenatchee Ave'!L26+'2 Confluence Parkway'!L26+'3 Cascade Int'!L26+'4 Sunset Highway'!L26</f>
        <v>0</v>
      </c>
      <c r="M31" s="28">
        <f>'1 North Wenatchee Ave'!M26+'2 Confluence Parkway'!M26+'3 Cascade Int'!M26+'4 Sunset Highway'!M26</f>
        <v>0</v>
      </c>
      <c r="N31" s="28">
        <f>'1 North Wenatchee Ave'!N26+'2 Confluence Parkway'!N26+'3 Cascade Int'!N26+'4 Sunset Highway'!N26</f>
        <v>0</v>
      </c>
      <c r="O31" s="28">
        <f>'1 North Wenatchee Ave'!O26+'2 Confluence Parkway'!O26+'3 Cascade Int'!O26+'4 Sunset Highway'!O26</f>
        <v>0</v>
      </c>
      <c r="P31" s="28">
        <f>'1 North Wenatchee Ave'!P26+'2 Confluence Parkway'!P26+'3 Cascade Int'!P26+'4 Sunset Highway'!P26</f>
        <v>0</v>
      </c>
      <c r="Q31" s="41">
        <f>'1 North Wenatchee Ave'!Q26+'2 Confluence Parkway'!Q26+'3 Cascade Int'!Q26+'4 Sunset Highway'!Q26</f>
        <v>0</v>
      </c>
      <c r="R31" s="29">
        <f t="shared" si="0"/>
        <v>113000</v>
      </c>
    </row>
    <row r="32" spans="1:18" x14ac:dyDescent="0.25">
      <c r="A32" s="3"/>
      <c r="B32" s="3"/>
      <c r="C32" s="3" t="s">
        <v>11</v>
      </c>
      <c r="D32" s="7">
        <f>'1 North Wenatchee Ave'!D27+'2 Confluence Parkway'!D27+'3 Cascade Int'!D27+'4 Sunset Highway'!D27</f>
        <v>0</v>
      </c>
      <c r="E32" s="107">
        <f>'1 North Wenatchee Ave'!E27+'2 Confluence Parkway'!E27+'3 Cascade Int'!E27+'4 Sunset Highway'!E27</f>
        <v>0</v>
      </c>
      <c r="F32" s="96">
        <f>'1 North Wenatchee Ave'!F27+'2 Confluence Parkway'!F27+'3 Cascade Int'!F27+'4 Sunset Highway'!F27</f>
        <v>0</v>
      </c>
      <c r="G32" s="28">
        <f>'1 North Wenatchee Ave'!G27+'2 Confluence Parkway'!G27+'3 Cascade Int'!G27+'4 Sunset Highway'!G27</f>
        <v>0</v>
      </c>
      <c r="H32" s="28">
        <f>'1 North Wenatchee Ave'!H27+'2 Confluence Parkway'!H27+'3 Cascade Int'!H27+'4 Sunset Highway'!H27</f>
        <v>0</v>
      </c>
      <c r="I32" s="41">
        <f>'1 North Wenatchee Ave'!I27+'2 Confluence Parkway'!I27+'3 Cascade Int'!I27+'4 Sunset Highway'!I27</f>
        <v>0</v>
      </c>
      <c r="J32" s="28">
        <f>'1 North Wenatchee Ave'!J27+'2 Confluence Parkway'!J27+'3 Cascade Int'!J27+'4 Sunset Highway'!J27</f>
        <v>0</v>
      </c>
      <c r="K32" s="28">
        <f>'1 North Wenatchee Ave'!K27+'2 Confluence Parkway'!K27+'3 Cascade Int'!K27+'4 Sunset Highway'!K27</f>
        <v>0</v>
      </c>
      <c r="L32" s="28">
        <f>'1 North Wenatchee Ave'!L27+'2 Confluence Parkway'!L27+'3 Cascade Int'!L27+'4 Sunset Highway'!L27</f>
        <v>0</v>
      </c>
      <c r="M32" s="28">
        <f>'1 North Wenatchee Ave'!M27+'2 Confluence Parkway'!M27+'3 Cascade Int'!M27+'4 Sunset Highway'!M27</f>
        <v>0</v>
      </c>
      <c r="N32" s="28">
        <f>'1 North Wenatchee Ave'!N27+'2 Confluence Parkway'!N27+'3 Cascade Int'!N27+'4 Sunset Highway'!N27</f>
        <v>0</v>
      </c>
      <c r="O32" s="28">
        <f>'1 North Wenatchee Ave'!O27+'2 Confluence Parkway'!O27+'3 Cascade Int'!O27+'4 Sunset Highway'!O27</f>
        <v>0</v>
      </c>
      <c r="P32" s="28">
        <f>'1 North Wenatchee Ave'!P27+'2 Confluence Parkway'!P27+'3 Cascade Int'!P27+'4 Sunset Highway'!P27</f>
        <v>0</v>
      </c>
      <c r="Q32" s="41">
        <f>'1 North Wenatchee Ave'!Q27+'2 Confluence Parkway'!Q27+'3 Cascade Int'!Q27+'4 Sunset Highway'!Q27</f>
        <v>0</v>
      </c>
      <c r="R32" s="29">
        <f t="shared" si="0"/>
        <v>0</v>
      </c>
    </row>
    <row r="33" spans="1:18" x14ac:dyDescent="0.25">
      <c r="A33" s="3"/>
      <c r="B33" s="3"/>
      <c r="C33" s="3" t="s">
        <v>71</v>
      </c>
      <c r="D33" s="7">
        <f>'1 North Wenatchee Ave'!D28+'2 Confluence Parkway'!D28+'3 Cascade Int'!D28+'4 Sunset Highway'!D28</f>
        <v>0</v>
      </c>
      <c r="E33" s="107">
        <f>'1 North Wenatchee Ave'!E28+'2 Confluence Parkway'!E28+'3 Cascade Int'!E28+'4 Sunset Highway'!E28</f>
        <v>8613296</v>
      </c>
      <c r="F33" s="96">
        <f>'1 North Wenatchee Ave'!F28+'2 Confluence Parkway'!F28+'3 Cascade Int'!F28+'4 Sunset Highway'!F28</f>
        <v>7600000</v>
      </c>
      <c r="G33" s="28">
        <f>'1 North Wenatchee Ave'!G28+'2 Confluence Parkway'!G28+'3 Cascade Int'!G28+'4 Sunset Highway'!G28</f>
        <v>139257</v>
      </c>
      <c r="H33" s="28">
        <f>'1 North Wenatchee Ave'!H28+'2 Confluence Parkway'!H28+'3 Cascade Int'!H28+'4 Sunset Highway'!H28</f>
        <v>874039</v>
      </c>
      <c r="I33" s="41">
        <f>'1 North Wenatchee Ave'!I28+'2 Confluence Parkway'!I28+'3 Cascade Int'!I28+'4 Sunset Highway'!I28</f>
        <v>0</v>
      </c>
      <c r="J33" s="28">
        <f>'1 North Wenatchee Ave'!J28+'2 Confluence Parkway'!J28+'3 Cascade Int'!J28+'4 Sunset Highway'!J28</f>
        <v>0</v>
      </c>
      <c r="K33" s="28">
        <f>'1 North Wenatchee Ave'!K28+'2 Confluence Parkway'!K28+'3 Cascade Int'!K28+'4 Sunset Highway'!K28</f>
        <v>0</v>
      </c>
      <c r="L33" s="28">
        <f>'1 North Wenatchee Ave'!L28+'2 Confluence Parkway'!L28+'3 Cascade Int'!L28+'4 Sunset Highway'!L28</f>
        <v>0</v>
      </c>
      <c r="M33" s="28">
        <f>'1 North Wenatchee Ave'!M28+'2 Confluence Parkway'!M28+'3 Cascade Int'!M28+'4 Sunset Highway'!M28</f>
        <v>0</v>
      </c>
      <c r="N33" s="28">
        <f>'1 North Wenatchee Ave'!N28+'2 Confluence Parkway'!N28+'3 Cascade Int'!N28+'4 Sunset Highway'!N28</f>
        <v>0</v>
      </c>
      <c r="O33" s="28">
        <f>'1 North Wenatchee Ave'!O28+'2 Confluence Parkway'!O28+'3 Cascade Int'!O28+'4 Sunset Highway'!O28</f>
        <v>0</v>
      </c>
      <c r="P33" s="28">
        <f>'1 North Wenatchee Ave'!P28+'2 Confluence Parkway'!P28+'3 Cascade Int'!P28+'4 Sunset Highway'!P28</f>
        <v>0</v>
      </c>
      <c r="Q33" s="41">
        <f>'1 North Wenatchee Ave'!Q28+'2 Confluence Parkway'!Q28+'3 Cascade Int'!Q28+'4 Sunset Highway'!Q28</f>
        <v>0</v>
      </c>
      <c r="R33" s="29">
        <f t="shared" si="0"/>
        <v>1013296</v>
      </c>
    </row>
    <row r="34" spans="1:18" x14ac:dyDescent="0.25">
      <c r="A34" s="3"/>
      <c r="B34" s="3"/>
      <c r="C34" s="3"/>
      <c r="D34" s="9"/>
      <c r="E34" s="115"/>
      <c r="F34" s="97"/>
      <c r="G34" s="63"/>
      <c r="H34" s="63"/>
      <c r="I34" s="64"/>
      <c r="J34" s="63"/>
      <c r="K34" s="63"/>
      <c r="L34" s="63"/>
      <c r="M34" s="63"/>
      <c r="N34" s="63"/>
      <c r="O34" s="63"/>
      <c r="P34" s="63"/>
      <c r="Q34" s="64"/>
      <c r="R34" s="29">
        <f t="shared" si="0"/>
        <v>0</v>
      </c>
    </row>
    <row r="35" spans="1:18" x14ac:dyDescent="0.25">
      <c r="A35" s="3"/>
      <c r="B35" s="3" t="s">
        <v>17</v>
      </c>
      <c r="C35" s="3"/>
      <c r="D35" s="7">
        <f>SUM(D26:D34)</f>
        <v>108921982</v>
      </c>
      <c r="E35" s="107">
        <f>SUM(E26:E34)</f>
        <v>122197507</v>
      </c>
      <c r="F35" s="96">
        <f>SUM(F26:F34)</f>
        <v>7644794</v>
      </c>
      <c r="G35" s="28">
        <f>SUM(G26:G34)</f>
        <v>419076</v>
      </c>
      <c r="H35" s="28">
        <f t="shared" ref="H35:Q35" si="2">SUM(H26:H34)</f>
        <v>1353861</v>
      </c>
      <c r="I35" s="41">
        <f t="shared" si="2"/>
        <v>3000861</v>
      </c>
      <c r="J35" s="28">
        <f t="shared" si="2"/>
        <v>6940699</v>
      </c>
      <c r="K35" s="28">
        <f t="shared" si="2"/>
        <v>10229980</v>
      </c>
      <c r="L35" s="28">
        <f t="shared" si="2"/>
        <v>14423714</v>
      </c>
      <c r="M35" s="28">
        <f t="shared" si="2"/>
        <v>25616612</v>
      </c>
      <c r="N35" s="28">
        <f t="shared" si="2"/>
        <v>36110352</v>
      </c>
      <c r="O35" s="28">
        <f t="shared" si="2"/>
        <v>11084884</v>
      </c>
      <c r="P35" s="28">
        <f t="shared" si="2"/>
        <v>5372674</v>
      </c>
      <c r="Q35" s="41">
        <f t="shared" si="2"/>
        <v>0</v>
      </c>
      <c r="R35" s="29">
        <f t="shared" si="0"/>
        <v>114552713</v>
      </c>
    </row>
    <row r="36" spans="1:18" x14ac:dyDescent="0.25">
      <c r="A36" s="3" t="s">
        <v>13</v>
      </c>
      <c r="B36" s="3"/>
      <c r="C36" s="3"/>
      <c r="D36" s="7"/>
      <c r="E36" s="107"/>
      <c r="F36" s="96"/>
      <c r="G36" s="28"/>
      <c r="H36" s="28"/>
      <c r="I36" s="41"/>
      <c r="J36" s="8"/>
      <c r="K36" s="8"/>
      <c r="L36" s="8"/>
      <c r="M36" s="8"/>
      <c r="N36" s="8"/>
      <c r="O36" s="8"/>
      <c r="P36" s="8"/>
      <c r="Q36" s="8"/>
      <c r="R36" s="29">
        <f t="shared" si="0"/>
        <v>0</v>
      </c>
    </row>
    <row r="37" spans="1:18" x14ac:dyDescent="0.25">
      <c r="A37" s="3"/>
      <c r="B37" s="3"/>
      <c r="C37" s="3" t="s">
        <v>14</v>
      </c>
      <c r="D37" s="7">
        <f>'1 North Wenatchee Ave'!D32+'2 Confluence Parkway'!D32+'3 Cascade Int'!D32+'4 Sunset Highway'!D32</f>
        <v>0</v>
      </c>
      <c r="E37" s="107">
        <f>'1 North Wenatchee Ave'!E32+'2 Confluence Parkway'!E32+'3 Cascade Int'!E32+'4 Sunset Highway'!E32</f>
        <v>3225386.7852500002</v>
      </c>
      <c r="F37" s="96">
        <f>'1 North Wenatchee Ave'!F32+'2 Confluence Parkway'!F32+'3 Cascade Int'!F32+'4 Sunset Highway'!F32</f>
        <v>171112.69110000003</v>
      </c>
      <c r="G37" s="28">
        <f>'1 North Wenatchee Ave'!G32+'2 Confluence Parkway'!G32+'3 Cascade Int'!G32+'4 Sunset Highway'!G32</f>
        <v>63178.735000000001</v>
      </c>
      <c r="H37" s="28">
        <f>'1 North Wenatchee Ave'!H32+'2 Confluence Parkway'!H32+'3 Cascade Int'!H32+'4 Sunset Highway'!H32</f>
        <v>657867.16054999991</v>
      </c>
      <c r="I37" s="41">
        <f>'1 North Wenatchee Ave'!I32+'2 Confluence Parkway'!I32+'3 Cascade Int'!I32+'4 Sunset Highway'!I32</f>
        <v>1115486.3886000002</v>
      </c>
      <c r="J37" s="28">
        <f>'1 North Wenatchee Ave'!J32+'2 Confluence Parkway'!J32+'3 Cascade Int'!J32+'4 Sunset Highway'!J32</f>
        <v>1217741.81</v>
      </c>
      <c r="K37" s="28">
        <f>'1 North Wenatchee Ave'!K32+'2 Confluence Parkway'!K32+'3 Cascade Int'!K32+'4 Sunset Highway'!K32</f>
        <v>0</v>
      </c>
      <c r="L37" s="28">
        <f>'1 North Wenatchee Ave'!L32+'2 Confluence Parkway'!L32+'3 Cascade Int'!L32+'4 Sunset Highway'!L32</f>
        <v>0</v>
      </c>
      <c r="M37" s="28">
        <f>'1 North Wenatchee Ave'!M32+'2 Confluence Parkway'!M32+'3 Cascade Int'!M32+'4 Sunset Highway'!M32</f>
        <v>0</v>
      </c>
      <c r="N37" s="28">
        <f>'1 North Wenatchee Ave'!N32+'2 Confluence Parkway'!N32+'3 Cascade Int'!N32+'4 Sunset Highway'!N32</f>
        <v>0</v>
      </c>
      <c r="O37" s="28">
        <f>'1 North Wenatchee Ave'!O32+'2 Confluence Parkway'!O32+'3 Cascade Int'!O32+'4 Sunset Highway'!O32</f>
        <v>0</v>
      </c>
      <c r="P37" s="28">
        <f>'1 North Wenatchee Ave'!P32+'2 Confluence Parkway'!P32+'3 Cascade Int'!P32+'4 Sunset Highway'!P32</f>
        <v>0</v>
      </c>
      <c r="Q37" s="41">
        <f>'1 North Wenatchee Ave'!Q32+'2 Confluence Parkway'!Q32+'3 Cascade Int'!Q32+'4 Sunset Highway'!Q32</f>
        <v>0</v>
      </c>
      <c r="R37" s="29">
        <f t="shared" si="0"/>
        <v>3054274.0941500003</v>
      </c>
    </row>
    <row r="38" spans="1:18" x14ac:dyDescent="0.25">
      <c r="A38" s="3"/>
      <c r="B38" s="3"/>
      <c r="C38" s="3" t="s">
        <v>15</v>
      </c>
      <c r="D38" s="7">
        <f>'1 North Wenatchee Ave'!D33+'2 Confluence Parkway'!D33+'3 Cascade Int'!D33+'4 Sunset Highway'!D33</f>
        <v>140414116</v>
      </c>
      <c r="E38" s="107">
        <f>'1 North Wenatchee Ave'!E33+'2 Confluence Parkway'!E33+'3 Cascade Int'!E33+'4 Sunset Highway'!E33</f>
        <v>140414116</v>
      </c>
      <c r="F38" s="96">
        <f>'1 North Wenatchee Ave'!F33+'2 Confluence Parkway'!F33+'3 Cascade Int'!F33+'4 Sunset Highway'!F33</f>
        <v>0</v>
      </c>
      <c r="G38" s="28">
        <f>'1 North Wenatchee Ave'!G33+'2 Confluence Parkway'!G33+'3 Cascade Int'!G33+'4 Sunset Highway'!G33</f>
        <v>0</v>
      </c>
      <c r="H38" s="28">
        <f>'1 North Wenatchee Ave'!H33+'2 Confluence Parkway'!H33+'3 Cascade Int'!H33+'4 Sunset Highway'!H33</f>
        <v>0</v>
      </c>
      <c r="I38" s="41">
        <f>'1 North Wenatchee Ave'!I33+'2 Confluence Parkway'!I33+'3 Cascade Int'!I33+'4 Sunset Highway'!I33</f>
        <v>0</v>
      </c>
      <c r="J38" s="28">
        <f>'1 North Wenatchee Ave'!J33+'2 Confluence Parkway'!J33+'3 Cascade Int'!J33+'4 Sunset Highway'!J33</f>
        <v>0</v>
      </c>
      <c r="K38" s="28">
        <f>'1 North Wenatchee Ave'!K33+'2 Confluence Parkway'!K33+'3 Cascade Int'!K33+'4 Sunset Highway'!K33</f>
        <v>3019502</v>
      </c>
      <c r="L38" s="28">
        <f>'1 North Wenatchee Ave'!L33+'2 Confluence Parkway'!L33+'3 Cascade Int'!L33+'4 Sunset Highway'!L33</f>
        <v>16889616</v>
      </c>
      <c r="M38" s="28">
        <f>'1 North Wenatchee Ave'!M33+'2 Confluence Parkway'!M33+'3 Cascade Int'!M33+'4 Sunset Highway'!M33</f>
        <v>32060322</v>
      </c>
      <c r="N38" s="28">
        <f>'1 North Wenatchee Ave'!N33+'2 Confluence Parkway'!N33+'3 Cascade Int'!N33+'4 Sunset Highway'!N33</f>
        <v>48916969</v>
      </c>
      <c r="O38" s="28">
        <f>'1 North Wenatchee Ave'!O33+'2 Confluence Parkway'!O33+'3 Cascade Int'!O33+'4 Sunset Highway'!O33</f>
        <v>34954707</v>
      </c>
      <c r="P38" s="28">
        <f>'1 North Wenatchee Ave'!P33+'2 Confluence Parkway'!P33+'3 Cascade Int'!P33+'4 Sunset Highway'!P33</f>
        <v>4573000</v>
      </c>
      <c r="Q38" s="41">
        <f>'1 North Wenatchee Ave'!Q33+'2 Confluence Parkway'!Q33+'3 Cascade Int'!Q33+'4 Sunset Highway'!Q33</f>
        <v>0</v>
      </c>
      <c r="R38" s="29">
        <f t="shared" si="0"/>
        <v>140414116</v>
      </c>
    </row>
    <row r="39" spans="1:18" x14ac:dyDescent="0.25">
      <c r="A39" s="3"/>
      <c r="B39" s="3"/>
      <c r="C39" s="3"/>
      <c r="D39" s="7">
        <f>'1 North Wenatchee Ave'!D34+'2 Confluence Parkway'!D34+'3 Cascade Int'!D34+'4 Sunset Highway'!D34</f>
        <v>0</v>
      </c>
      <c r="E39" s="107">
        <f>'1 North Wenatchee Ave'!E34+'2 Confluence Parkway'!E34+'3 Cascade Int'!E34+'4 Sunset Highway'!E34</f>
        <v>0</v>
      </c>
      <c r="F39" s="96">
        <f>'1 North Wenatchee Ave'!F34+'2 Confluence Parkway'!F34+'3 Cascade Int'!F34+'4 Sunset Highway'!F34</f>
        <v>0</v>
      </c>
      <c r="G39" s="28">
        <f>'1 North Wenatchee Ave'!G34+'2 Confluence Parkway'!G34+'3 Cascade Int'!G34+'4 Sunset Highway'!G34</f>
        <v>0</v>
      </c>
      <c r="H39" s="28">
        <f>'1 North Wenatchee Ave'!H34+'2 Confluence Parkway'!H34+'3 Cascade Int'!H34+'4 Sunset Highway'!H34</f>
        <v>0</v>
      </c>
      <c r="I39" s="41">
        <f>'1 North Wenatchee Ave'!I34+'2 Confluence Parkway'!I34+'3 Cascade Int'!I34+'4 Sunset Highway'!I34</f>
        <v>0</v>
      </c>
      <c r="J39" s="28">
        <f>'1 North Wenatchee Ave'!J34+'2 Confluence Parkway'!J34+'3 Cascade Int'!J34+'4 Sunset Highway'!J34</f>
        <v>0</v>
      </c>
      <c r="K39" s="28">
        <f>'1 North Wenatchee Ave'!K34+'2 Confluence Parkway'!K34+'3 Cascade Int'!K34+'4 Sunset Highway'!K34</f>
        <v>0</v>
      </c>
      <c r="L39" s="28">
        <f>'1 North Wenatchee Ave'!L34+'2 Confluence Parkway'!L34+'3 Cascade Int'!L34+'4 Sunset Highway'!L34</f>
        <v>0</v>
      </c>
      <c r="M39" s="28">
        <f>'1 North Wenatchee Ave'!M34+'2 Confluence Parkway'!M34+'3 Cascade Int'!M34+'4 Sunset Highway'!M34</f>
        <v>0</v>
      </c>
      <c r="N39" s="28">
        <f>'1 North Wenatchee Ave'!N34+'2 Confluence Parkway'!N34+'3 Cascade Int'!N34+'4 Sunset Highway'!N34</f>
        <v>0</v>
      </c>
      <c r="O39" s="28">
        <f>'1 North Wenatchee Ave'!O34+'2 Confluence Parkway'!O34+'3 Cascade Int'!O34+'4 Sunset Highway'!O34</f>
        <v>0</v>
      </c>
      <c r="P39" s="28">
        <f>'1 North Wenatchee Ave'!P34+'2 Confluence Parkway'!P34+'3 Cascade Int'!P34+'4 Sunset Highway'!P34</f>
        <v>0</v>
      </c>
      <c r="Q39" s="41">
        <f>'1 North Wenatchee Ave'!Q34+'2 Confluence Parkway'!Q34+'3 Cascade Int'!Q34+'4 Sunset Highway'!Q34</f>
        <v>0</v>
      </c>
      <c r="R39" s="29">
        <f t="shared" si="0"/>
        <v>0</v>
      </c>
    </row>
    <row r="40" spans="1:18" x14ac:dyDescent="0.25">
      <c r="A40" s="3"/>
      <c r="B40" s="3"/>
      <c r="C40" s="3"/>
      <c r="D40" s="9"/>
      <c r="E40" s="109"/>
      <c r="F40" s="97"/>
      <c r="G40" s="63"/>
      <c r="H40" s="63"/>
      <c r="I40" s="64"/>
      <c r="J40" s="63"/>
      <c r="K40" s="63"/>
      <c r="L40" s="63"/>
      <c r="M40" s="63"/>
      <c r="N40" s="63"/>
      <c r="O40" s="63"/>
      <c r="P40" s="63"/>
      <c r="Q40" s="64"/>
      <c r="R40" s="29">
        <f t="shared" si="0"/>
        <v>0</v>
      </c>
    </row>
    <row r="41" spans="1:18" x14ac:dyDescent="0.25">
      <c r="A41" s="3"/>
      <c r="B41" s="3" t="s">
        <v>18</v>
      </c>
      <c r="C41" s="3"/>
      <c r="D41" s="7">
        <f>SUM(D37:D40)</f>
        <v>140414116</v>
      </c>
      <c r="E41" s="107">
        <f>SUM(E37:E40)</f>
        <v>143639502.78525001</v>
      </c>
      <c r="F41" s="96">
        <f>SUM(F37:F40)</f>
        <v>171112.69110000003</v>
      </c>
      <c r="G41" s="28">
        <f>SUM(G37:G40)</f>
        <v>63178.735000000001</v>
      </c>
      <c r="H41" s="28">
        <f t="shared" ref="H41:Q41" si="3">SUM(H37:H40)</f>
        <v>657867.16054999991</v>
      </c>
      <c r="I41" s="41">
        <f t="shared" si="3"/>
        <v>1115486.3886000002</v>
      </c>
      <c r="J41" s="28">
        <f t="shared" si="3"/>
        <v>1217741.81</v>
      </c>
      <c r="K41" s="28">
        <f t="shared" si="3"/>
        <v>3019502</v>
      </c>
      <c r="L41" s="28">
        <f t="shared" si="3"/>
        <v>16889616</v>
      </c>
      <c r="M41" s="28">
        <f t="shared" si="3"/>
        <v>32060322</v>
      </c>
      <c r="N41" s="28">
        <f t="shared" si="3"/>
        <v>48916969</v>
      </c>
      <c r="O41" s="28">
        <f t="shared" si="3"/>
        <v>34954707</v>
      </c>
      <c r="P41" s="28">
        <f t="shared" si="3"/>
        <v>4573000</v>
      </c>
      <c r="Q41" s="41">
        <f t="shared" si="3"/>
        <v>0</v>
      </c>
      <c r="R41" s="29">
        <f t="shared" si="0"/>
        <v>143468390.09415001</v>
      </c>
    </row>
    <row r="42" spans="1:18" x14ac:dyDescent="0.25">
      <c r="A42" s="3"/>
      <c r="B42" s="3"/>
      <c r="C42" s="3"/>
      <c r="D42" s="11"/>
      <c r="E42" s="11"/>
      <c r="F42" s="48"/>
      <c r="G42" s="28"/>
      <c r="H42" s="28"/>
      <c r="I42" s="41"/>
      <c r="J42" s="8"/>
      <c r="K42" s="8"/>
      <c r="L42" s="8"/>
      <c r="M42" s="8"/>
      <c r="N42" s="8"/>
      <c r="O42" s="8"/>
      <c r="P42" s="8"/>
      <c r="Q42" s="8"/>
      <c r="R42" s="29">
        <f t="shared" si="0"/>
        <v>0</v>
      </c>
    </row>
    <row r="43" spans="1:18" x14ac:dyDescent="0.25">
      <c r="A43" s="3" t="s">
        <v>30</v>
      </c>
      <c r="B43" s="3"/>
      <c r="C43" s="3"/>
      <c r="D43" s="11">
        <f>D41+D35+D24</f>
        <v>262836098</v>
      </c>
      <c r="E43" s="11">
        <f>E41+E35+E24</f>
        <v>286265072.85000002</v>
      </c>
      <c r="F43" s="11">
        <f>F41+F35+F24</f>
        <v>8924081.1400000006</v>
      </c>
      <c r="G43" s="11">
        <f t="shared" ref="G43:Q43" si="4">G41+G35+G24</f>
        <v>1820564</v>
      </c>
      <c r="H43" s="11">
        <f t="shared" si="4"/>
        <v>2599662.0699999998</v>
      </c>
      <c r="I43" s="11">
        <f t="shared" si="4"/>
        <v>5319940.6400000006</v>
      </c>
      <c r="J43" s="11">
        <f t="shared" si="4"/>
        <v>10848493</v>
      </c>
      <c r="K43" s="11">
        <f t="shared" si="4"/>
        <v>17249482</v>
      </c>
      <c r="L43" s="11">
        <f t="shared" si="4"/>
        <v>39813330</v>
      </c>
      <c r="M43" s="11">
        <f t="shared" si="4"/>
        <v>57676934</v>
      </c>
      <c r="N43" s="11">
        <f t="shared" si="4"/>
        <v>86027321</v>
      </c>
      <c r="O43" s="11">
        <f t="shared" si="4"/>
        <v>46039591</v>
      </c>
      <c r="P43" s="11">
        <f t="shared" si="4"/>
        <v>9945674</v>
      </c>
      <c r="Q43" s="11">
        <f t="shared" si="4"/>
        <v>0</v>
      </c>
      <c r="R43" s="29">
        <f t="shared" si="0"/>
        <v>277340991.71000004</v>
      </c>
    </row>
    <row r="44" spans="1:18" x14ac:dyDescent="0.25">
      <c r="A44" s="3"/>
      <c r="B44" s="3"/>
      <c r="C44" s="3"/>
      <c r="D44" s="11"/>
      <c r="E44" s="11"/>
      <c r="F44" s="27"/>
      <c r="G44" s="28"/>
      <c r="H44" s="8"/>
      <c r="I44" s="8"/>
      <c r="J44" s="8"/>
      <c r="K44" s="8"/>
      <c r="L44" s="8"/>
      <c r="M44" s="8"/>
      <c r="N44" s="8"/>
      <c r="O44" s="8"/>
      <c r="P44" s="8"/>
      <c r="Q44" s="8"/>
      <c r="R44" s="26"/>
    </row>
    <row r="45" spans="1:18" ht="18.75" x14ac:dyDescent="0.3">
      <c r="A45" s="31" t="s">
        <v>2</v>
      </c>
      <c r="B45" s="10"/>
      <c r="C45" s="10"/>
      <c r="D45" s="12"/>
      <c r="E45" s="12"/>
      <c r="F45" s="12"/>
      <c r="G45" s="2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26"/>
    </row>
    <row r="46" spans="1:18" ht="30" x14ac:dyDescent="0.25">
      <c r="A46" s="4"/>
      <c r="B46" s="4"/>
      <c r="C46" s="4" t="s">
        <v>69</v>
      </c>
      <c r="D46" s="20" t="s">
        <v>81</v>
      </c>
      <c r="E46" s="20" t="s">
        <v>79</v>
      </c>
      <c r="F46" s="99">
        <v>2017</v>
      </c>
      <c r="G46" s="4">
        <v>2018</v>
      </c>
      <c r="H46" s="4">
        <v>2019</v>
      </c>
      <c r="I46" s="4">
        <v>2020</v>
      </c>
      <c r="J46" s="101">
        <v>2021</v>
      </c>
      <c r="K46" s="4">
        <v>2022</v>
      </c>
      <c r="L46" s="4">
        <v>2023</v>
      </c>
      <c r="M46" s="4">
        <v>2024</v>
      </c>
      <c r="N46" s="4">
        <v>2025</v>
      </c>
      <c r="O46" s="4">
        <v>2026</v>
      </c>
      <c r="P46" s="4">
        <v>2027</v>
      </c>
      <c r="Q46" s="4">
        <v>2028</v>
      </c>
      <c r="R46" s="22" t="s">
        <v>220</v>
      </c>
    </row>
    <row r="47" spans="1:18" x14ac:dyDescent="0.25">
      <c r="D47" s="7"/>
      <c r="E47" s="107"/>
      <c r="F47" s="113"/>
      <c r="G47" s="43"/>
      <c r="H47" s="136"/>
      <c r="I47" s="43"/>
      <c r="J47" s="104"/>
      <c r="R47" s="29">
        <f t="shared" ref="R47:R110" si="5">SUM(G47:Q47)</f>
        <v>0</v>
      </c>
    </row>
    <row r="48" spans="1:18" x14ac:dyDescent="0.25">
      <c r="A48" s="2" t="s">
        <v>24</v>
      </c>
      <c r="B48" s="2"/>
      <c r="C48" s="2"/>
      <c r="D48" s="39">
        <f>D50+D59+D68</f>
        <v>52664893</v>
      </c>
      <c r="E48" s="120">
        <f>E50+E59+E68</f>
        <v>61743497.850000001</v>
      </c>
      <c r="F48" s="123">
        <f>F50+F59+F68</f>
        <v>420205.14000000007</v>
      </c>
      <c r="G48" s="66">
        <f t="shared" ref="G48:Q48" si="6">G50+G59+G68</f>
        <v>1678064</v>
      </c>
      <c r="H48" s="66">
        <f t="shared" si="6"/>
        <v>1129430.0699999998</v>
      </c>
      <c r="I48" s="66">
        <f t="shared" si="6"/>
        <v>2086178.6400000001</v>
      </c>
      <c r="J48" s="67">
        <f t="shared" si="6"/>
        <v>3764727</v>
      </c>
      <c r="K48" s="66">
        <f t="shared" si="6"/>
        <v>2396216</v>
      </c>
      <c r="L48" s="66">
        <f t="shared" si="6"/>
        <v>13089950</v>
      </c>
      <c r="M48" s="66">
        <f t="shared" si="6"/>
        <v>22510817</v>
      </c>
      <c r="N48" s="66">
        <f t="shared" si="6"/>
        <v>13210352</v>
      </c>
      <c r="O48" s="66">
        <f t="shared" si="6"/>
        <v>1084884</v>
      </c>
      <c r="P48" s="66">
        <f t="shared" si="6"/>
        <v>372674</v>
      </c>
      <c r="Q48" s="67">
        <f t="shared" si="6"/>
        <v>0</v>
      </c>
      <c r="R48" s="29">
        <f t="shared" si="5"/>
        <v>61323292.710000001</v>
      </c>
    </row>
    <row r="49" spans="2:18" x14ac:dyDescent="0.25">
      <c r="D49" s="7"/>
      <c r="E49" s="107"/>
      <c r="F49" s="96"/>
      <c r="G49" s="43"/>
      <c r="H49" s="43"/>
      <c r="I49" s="43"/>
      <c r="J49" s="104"/>
      <c r="R49" s="29">
        <f t="shared" si="5"/>
        <v>0</v>
      </c>
    </row>
    <row r="50" spans="2:18" x14ac:dyDescent="0.25">
      <c r="B50" t="s">
        <v>26</v>
      </c>
      <c r="D50" s="7">
        <f>'1 North Wenatchee Ave'!D45</f>
        <v>16793597</v>
      </c>
      <c r="E50" s="107">
        <f>'1 North Wenatchee Ave'!E45</f>
        <v>18236277</v>
      </c>
      <c r="F50" s="96">
        <f>'1 North Wenatchee Ave'!F45</f>
        <v>42387</v>
      </c>
      <c r="G50" s="87">
        <f>'1 North Wenatchee Ave'!G45</f>
        <v>355025</v>
      </c>
      <c r="H50" s="87">
        <f>'1 North Wenatchee Ave'!H45</f>
        <v>171110</v>
      </c>
      <c r="I50" s="87">
        <f>'1 North Wenatchee Ave'!I45</f>
        <v>390140</v>
      </c>
      <c r="J50" s="105">
        <f>'1 North Wenatchee Ave'!J45</f>
        <v>484018</v>
      </c>
      <c r="K50" s="87">
        <f>'1 North Wenatchee Ave'!K45</f>
        <v>847816</v>
      </c>
      <c r="L50" s="56">
        <f>'1 North Wenatchee Ave'!L45</f>
        <v>4247499</v>
      </c>
      <c r="M50" s="56">
        <f>'1 North Wenatchee Ave'!M45</f>
        <v>6508572</v>
      </c>
      <c r="N50" s="42">
        <f>'1 North Wenatchee Ave'!N45</f>
        <v>3732152</v>
      </c>
      <c r="O50" s="42">
        <f>'1 North Wenatchee Ave'!O45</f>
        <v>1084884</v>
      </c>
      <c r="P50" s="42">
        <f>'1 North Wenatchee Ave'!P45</f>
        <v>372674</v>
      </c>
      <c r="Q50" s="28">
        <f>'1 North Wenatchee Ave'!Q45</f>
        <v>0</v>
      </c>
      <c r="R50" s="29">
        <f>SUM(F50:Q50)</f>
        <v>18236277</v>
      </c>
    </row>
    <row r="51" spans="2:18" x14ac:dyDescent="0.25">
      <c r="C51" t="s">
        <v>20</v>
      </c>
      <c r="D51" s="7">
        <f>'1 North Wenatchee Ave'!D46</f>
        <v>1508008</v>
      </c>
      <c r="E51" s="107">
        <f>'1 North Wenatchee Ave'!E46</f>
        <v>2702352</v>
      </c>
      <c r="F51" s="96">
        <f>'1 North Wenatchee Ave'!F46</f>
        <v>42387</v>
      </c>
      <c r="G51" s="28">
        <f>'1 North Wenatchee Ave'!G46</f>
        <v>355025</v>
      </c>
      <c r="H51" s="28">
        <f>'1 North Wenatchee Ave'!H46</f>
        <v>171110</v>
      </c>
      <c r="I51" s="28">
        <f>'1 North Wenatchee Ave'!I46</f>
        <v>342938</v>
      </c>
      <c r="J51" s="41">
        <f>'1 North Wenatchee Ave'!J46</f>
        <v>282884</v>
      </c>
      <c r="K51" s="28">
        <f>'1 North Wenatchee Ave'!K46</f>
        <v>492149</v>
      </c>
      <c r="L51" s="28">
        <f>'1 North Wenatchee Ave'!L46</f>
        <v>980426</v>
      </c>
      <c r="M51" s="28">
        <f>'1 North Wenatchee Ave'!M46</f>
        <v>35433</v>
      </c>
      <c r="N51" s="28">
        <f>'1 North Wenatchee Ave'!N46</f>
        <v>0</v>
      </c>
      <c r="O51" s="28">
        <f>'1 North Wenatchee Ave'!O46</f>
        <v>0</v>
      </c>
      <c r="P51" s="28">
        <f>'1 North Wenatchee Ave'!P46</f>
        <v>0</v>
      </c>
      <c r="Q51" s="28">
        <f>'1 North Wenatchee Ave'!Q46</f>
        <v>0</v>
      </c>
      <c r="R51" s="29">
        <f t="shared" si="5"/>
        <v>2659965</v>
      </c>
    </row>
    <row r="52" spans="2:18" x14ac:dyDescent="0.25">
      <c r="C52" t="s">
        <v>21</v>
      </c>
      <c r="D52" s="7">
        <f>'1 North Wenatchee Ave'!D47</f>
        <v>0</v>
      </c>
      <c r="E52" s="107">
        <f>'1 North Wenatchee Ave'!E47</f>
        <v>0</v>
      </c>
      <c r="F52" s="96">
        <f>'1 North Wenatchee Ave'!F47</f>
        <v>0</v>
      </c>
      <c r="G52" s="28">
        <f>'1 North Wenatchee Ave'!G47</f>
        <v>0</v>
      </c>
      <c r="H52" s="28">
        <f>'1 North Wenatchee Ave'!H47</f>
        <v>0</v>
      </c>
      <c r="I52" s="28">
        <f>'1 North Wenatchee Ave'!I47</f>
        <v>0</v>
      </c>
      <c r="J52" s="41">
        <f>'1 North Wenatchee Ave'!J47</f>
        <v>0</v>
      </c>
      <c r="K52" s="28">
        <f>'1 North Wenatchee Ave'!K47</f>
        <v>0</v>
      </c>
      <c r="L52" s="28">
        <f>'1 North Wenatchee Ave'!L47</f>
        <v>0</v>
      </c>
      <c r="M52" s="28">
        <f>'1 North Wenatchee Ave'!M47</f>
        <v>0</v>
      </c>
      <c r="N52" s="28">
        <f>'1 North Wenatchee Ave'!N47</f>
        <v>0</v>
      </c>
      <c r="O52" s="28">
        <f>'1 North Wenatchee Ave'!O47</f>
        <v>0</v>
      </c>
      <c r="P52" s="28">
        <f>'1 North Wenatchee Ave'!P47</f>
        <v>0</v>
      </c>
      <c r="Q52" s="28">
        <f>'1 North Wenatchee Ave'!Q47</f>
        <v>0</v>
      </c>
      <c r="R52" s="29">
        <f t="shared" si="5"/>
        <v>0</v>
      </c>
    </row>
    <row r="53" spans="2:18" x14ac:dyDescent="0.25">
      <c r="C53" t="s">
        <v>22</v>
      </c>
      <c r="D53" s="7">
        <f>'1 North Wenatchee Ave'!D48</f>
        <v>1346664</v>
      </c>
      <c r="E53" s="107">
        <f>'1 North Wenatchee Ave'!E48</f>
        <v>1475000</v>
      </c>
      <c r="F53" s="96">
        <f>'1 North Wenatchee Ave'!F48</f>
        <v>0</v>
      </c>
      <c r="G53" s="28">
        <f>'1 North Wenatchee Ave'!G48</f>
        <v>0</v>
      </c>
      <c r="H53" s="28">
        <f>'1 North Wenatchee Ave'!H48</f>
        <v>0</v>
      </c>
      <c r="I53" s="28">
        <f>'1 North Wenatchee Ave'!I48</f>
        <v>47202</v>
      </c>
      <c r="J53" s="41">
        <f>'1 North Wenatchee Ave'!J48</f>
        <v>81134</v>
      </c>
      <c r="K53" s="28">
        <f>'1 North Wenatchee Ave'!K48</f>
        <v>43997</v>
      </c>
      <c r="L53" s="28">
        <f>'1 North Wenatchee Ave'!L48</f>
        <v>486000</v>
      </c>
      <c r="M53" s="28">
        <f>'1 North Wenatchee Ave'!M48</f>
        <v>816667</v>
      </c>
      <c r="N53" s="28">
        <f>'1 North Wenatchee Ave'!N48</f>
        <v>0</v>
      </c>
      <c r="O53" s="28">
        <f>'1 North Wenatchee Ave'!O48</f>
        <v>0</v>
      </c>
      <c r="P53" s="28">
        <f>'1 North Wenatchee Ave'!P48</f>
        <v>0</v>
      </c>
      <c r="Q53" s="28">
        <f>'1 North Wenatchee Ave'!Q48</f>
        <v>0</v>
      </c>
      <c r="R53" s="29">
        <f t="shared" si="5"/>
        <v>1475000</v>
      </c>
    </row>
    <row r="54" spans="2:18" x14ac:dyDescent="0.25">
      <c r="C54" t="s">
        <v>37</v>
      </c>
      <c r="D54" s="7">
        <f>'1 North Wenatchee Ave'!D49</f>
        <v>2090838.75</v>
      </c>
      <c r="E54" s="107">
        <f>'1 North Wenatchee Ave'!E49</f>
        <v>2108838.75</v>
      </c>
      <c r="F54" s="96">
        <f>'1 North Wenatchee Ave'!F49</f>
        <v>0</v>
      </c>
      <c r="G54" s="28">
        <f>'1 North Wenatchee Ave'!G49</f>
        <v>0</v>
      </c>
      <c r="H54" s="28">
        <f>'1 North Wenatchee Ave'!H49</f>
        <v>0</v>
      </c>
      <c r="I54" s="28">
        <f>'1 North Wenatchee Ave'!I49</f>
        <v>0</v>
      </c>
      <c r="J54" s="41">
        <f>'1 North Wenatchee Ave'!J49</f>
        <v>18000</v>
      </c>
      <c r="K54" s="28">
        <f>'1 North Wenatchee Ave'!K49</f>
        <v>46750.5</v>
      </c>
      <c r="L54" s="28">
        <f>'1 North Wenatchee Ave'!L49</f>
        <v>417160.95</v>
      </c>
      <c r="M54" s="28">
        <f>'1 North Wenatchee Ave'!M49</f>
        <v>848470.79999999993</v>
      </c>
      <c r="N54" s="28">
        <f>'1 North Wenatchee Ave'!N49</f>
        <v>559822.79999999993</v>
      </c>
      <c r="O54" s="28">
        <f>'1 North Wenatchee Ave'!O49</f>
        <v>162732.6</v>
      </c>
      <c r="P54" s="28">
        <f>'1 North Wenatchee Ave'!P49</f>
        <v>55901.1</v>
      </c>
      <c r="Q54" s="28">
        <f>'1 North Wenatchee Ave'!Q49</f>
        <v>0</v>
      </c>
      <c r="R54" s="29">
        <f t="shared" si="5"/>
        <v>2108838.75</v>
      </c>
    </row>
    <row r="55" spans="2:18" x14ac:dyDescent="0.25">
      <c r="C55" t="s">
        <v>23</v>
      </c>
      <c r="D55" s="7">
        <f>'1 North Wenatchee Ave'!D50</f>
        <v>10454193.75</v>
      </c>
      <c r="E55" s="107">
        <f>'1 North Wenatchee Ave'!E50</f>
        <v>10544193.75</v>
      </c>
      <c r="F55" s="96">
        <f>'1 North Wenatchee Ave'!F50</f>
        <v>0</v>
      </c>
      <c r="G55" s="28">
        <f>'1 North Wenatchee Ave'!G50</f>
        <v>0</v>
      </c>
      <c r="H55" s="28">
        <f>'1 North Wenatchee Ave'!H50</f>
        <v>0</v>
      </c>
      <c r="I55" s="28">
        <f>'1 North Wenatchee Ave'!I50</f>
        <v>0</v>
      </c>
      <c r="J55" s="41">
        <f>'1 North Wenatchee Ave'!J50</f>
        <v>90000</v>
      </c>
      <c r="K55" s="28">
        <f>'1 North Wenatchee Ave'!K50</f>
        <v>233752.5</v>
      </c>
      <c r="L55" s="28">
        <f>'1 North Wenatchee Ave'!L50</f>
        <v>2085804.7499999998</v>
      </c>
      <c r="M55" s="28">
        <f>'1 North Wenatchee Ave'!M50</f>
        <v>4242354</v>
      </c>
      <c r="N55" s="28">
        <f>'1 North Wenatchee Ave'!N50</f>
        <v>2799114</v>
      </c>
      <c r="O55" s="28">
        <f>'1 North Wenatchee Ave'!O50</f>
        <v>813663</v>
      </c>
      <c r="P55" s="28">
        <f>'1 North Wenatchee Ave'!P50</f>
        <v>279505.5</v>
      </c>
      <c r="Q55" s="28">
        <f>'1 North Wenatchee Ave'!Q50</f>
        <v>0</v>
      </c>
      <c r="R55" s="29">
        <f t="shared" si="5"/>
        <v>10544193.75</v>
      </c>
    </row>
    <row r="56" spans="2:18" x14ac:dyDescent="0.25">
      <c r="C56" t="s">
        <v>39</v>
      </c>
      <c r="D56" s="7">
        <f>'1 North Wenatchee Ave'!D51</f>
        <v>1393892.4999999998</v>
      </c>
      <c r="E56" s="107">
        <f>'1 North Wenatchee Ave'!E51</f>
        <v>1405892.4999999998</v>
      </c>
      <c r="F56" s="96">
        <f>'1 North Wenatchee Ave'!F51</f>
        <v>0</v>
      </c>
      <c r="G56" s="28">
        <f>'1 North Wenatchee Ave'!G51</f>
        <v>0</v>
      </c>
      <c r="H56" s="28">
        <f>'1 North Wenatchee Ave'!H51</f>
        <v>0</v>
      </c>
      <c r="I56" s="28">
        <f>'1 North Wenatchee Ave'!I51</f>
        <v>0</v>
      </c>
      <c r="J56" s="41">
        <f>'1 North Wenatchee Ave'!J51</f>
        <v>12000</v>
      </c>
      <c r="K56" s="28">
        <f>'1 North Wenatchee Ave'!K51</f>
        <v>31167</v>
      </c>
      <c r="L56" s="28">
        <f>'1 North Wenatchee Ave'!L51</f>
        <v>278107.3</v>
      </c>
      <c r="M56" s="28">
        <f>'1 North Wenatchee Ave'!M51</f>
        <v>565647.20000000007</v>
      </c>
      <c r="N56" s="28">
        <f>'1 North Wenatchee Ave'!N51</f>
        <v>373215.2</v>
      </c>
      <c r="O56" s="28">
        <f>'1 North Wenatchee Ave'!O51</f>
        <v>108488.40000000001</v>
      </c>
      <c r="P56" s="28">
        <f>'1 North Wenatchee Ave'!P51</f>
        <v>37267.4</v>
      </c>
      <c r="Q56" s="28">
        <f>'1 North Wenatchee Ave'!Q51</f>
        <v>0</v>
      </c>
      <c r="R56" s="29">
        <f t="shared" si="5"/>
        <v>1405892.4999999998</v>
      </c>
    </row>
    <row r="57" spans="2:18" x14ac:dyDescent="0.25">
      <c r="D57" s="7"/>
      <c r="E57" s="107"/>
      <c r="F57" s="96"/>
      <c r="G57" s="28">
        <f>'1 North Wenatchee Ave'!G52</f>
        <v>0</v>
      </c>
      <c r="H57" s="28">
        <f>'1 North Wenatchee Ave'!H52</f>
        <v>0</v>
      </c>
      <c r="I57" s="28">
        <f>'1 North Wenatchee Ave'!I52</f>
        <v>0</v>
      </c>
      <c r="J57" s="41">
        <f>'1 North Wenatchee Ave'!J52</f>
        <v>0</v>
      </c>
      <c r="K57" s="28">
        <f>'1 North Wenatchee Ave'!K52</f>
        <v>0</v>
      </c>
      <c r="L57" s="28">
        <f>'1 North Wenatchee Ave'!L52</f>
        <v>0</v>
      </c>
      <c r="M57" s="28">
        <f>'1 North Wenatchee Ave'!M52</f>
        <v>0</v>
      </c>
      <c r="N57" s="28">
        <f>'1 North Wenatchee Ave'!N52</f>
        <v>0</v>
      </c>
      <c r="O57" s="28">
        <f>'1 North Wenatchee Ave'!O52</f>
        <v>0</v>
      </c>
      <c r="P57" s="28">
        <f>'1 North Wenatchee Ave'!P52</f>
        <v>0</v>
      </c>
      <c r="Q57" s="28">
        <f>'1 North Wenatchee Ave'!Q52</f>
        <v>0</v>
      </c>
      <c r="R57" s="29">
        <f t="shared" si="5"/>
        <v>0</v>
      </c>
    </row>
    <row r="58" spans="2:18" x14ac:dyDescent="0.25">
      <c r="D58" s="7"/>
      <c r="E58" s="107"/>
      <c r="F58" s="96"/>
      <c r="G58" s="28"/>
      <c r="H58" s="43"/>
      <c r="I58" s="43"/>
      <c r="J58" s="104"/>
      <c r="R58" s="29">
        <f t="shared" si="5"/>
        <v>0</v>
      </c>
    </row>
    <row r="59" spans="2:18" x14ac:dyDescent="0.25">
      <c r="B59" t="s">
        <v>168</v>
      </c>
      <c r="D59" s="7">
        <f>'1 North Wenatchee Ave'!D54</f>
        <v>31524200</v>
      </c>
      <c r="E59" s="107">
        <f>'1 North Wenatchee Ave'!E54</f>
        <v>38507219.850000001</v>
      </c>
      <c r="F59" s="96">
        <f>'1 North Wenatchee Ave'!F54</f>
        <v>377818.14000000007</v>
      </c>
      <c r="G59" s="87">
        <f>'1 North Wenatchee Ave'!G54</f>
        <v>1323039</v>
      </c>
      <c r="H59" s="87">
        <f>'1 North Wenatchee Ave'!H54</f>
        <v>955289.07</v>
      </c>
      <c r="I59" s="87">
        <f>'1 North Wenatchee Ave'!I54</f>
        <v>1419079.6400000001</v>
      </c>
      <c r="J59" s="105">
        <f>'1 North Wenatchee Ave'!J54</f>
        <v>2907794</v>
      </c>
      <c r="K59" s="87">
        <f>'1 North Wenatchee Ave'!K54</f>
        <v>1500000</v>
      </c>
      <c r="L59" s="42">
        <f>'1 North Wenatchee Ave'!L54</f>
        <v>5546000</v>
      </c>
      <c r="M59" s="42">
        <f>'1 North Wenatchee Ave'!M54</f>
        <v>15000000</v>
      </c>
      <c r="N59" s="42">
        <f>'1 North Wenatchee Ave'!N54</f>
        <v>9478200</v>
      </c>
      <c r="O59" s="28">
        <f>'1 North Wenatchee Ave'!O54</f>
        <v>0</v>
      </c>
      <c r="P59" s="28">
        <f>'1 North Wenatchee Ave'!P54</f>
        <v>0</v>
      </c>
      <c r="Q59" s="28">
        <f>'1 North Wenatchee Ave'!Q54</f>
        <v>0</v>
      </c>
      <c r="R59" s="29">
        <f t="shared" si="5"/>
        <v>38129401.710000001</v>
      </c>
    </row>
    <row r="60" spans="2:18" x14ac:dyDescent="0.25">
      <c r="C60" t="s">
        <v>20</v>
      </c>
      <c r="D60" s="7">
        <f>'1 North Wenatchee Ave'!D55</f>
        <v>2045999.9999999995</v>
      </c>
      <c r="E60" s="107">
        <f>'1 North Wenatchee Ave'!E55</f>
        <v>4330885.8499999996</v>
      </c>
      <c r="F60" s="96">
        <f>'1 North Wenatchee Ave'!F55</f>
        <v>328987.31000000006</v>
      </c>
      <c r="G60" s="28">
        <f>'1 North Wenatchee Ave'!G55</f>
        <v>26369.33</v>
      </c>
      <c r="H60" s="28">
        <f>'1 North Wenatchee Ave'!H55</f>
        <v>276839.20999999996</v>
      </c>
      <c r="I60" s="28">
        <f>'1 North Wenatchee Ave'!I55</f>
        <v>152690</v>
      </c>
      <c r="J60" s="41">
        <f>'1 North Wenatchee Ave'!J55</f>
        <v>1500000</v>
      </c>
      <c r="K60" s="28">
        <f>'1 North Wenatchee Ave'!K55</f>
        <v>1500000</v>
      </c>
      <c r="L60" s="28">
        <f>'1 North Wenatchee Ave'!L55</f>
        <v>546000</v>
      </c>
      <c r="M60" s="28">
        <f>'1 North Wenatchee Ave'!M55</f>
        <v>0</v>
      </c>
      <c r="N60" s="28">
        <f>'1 North Wenatchee Ave'!N55</f>
        <v>0</v>
      </c>
      <c r="O60" s="28">
        <f>'1 North Wenatchee Ave'!O55</f>
        <v>0</v>
      </c>
      <c r="P60" s="28">
        <f>'1 North Wenatchee Ave'!P55</f>
        <v>0</v>
      </c>
      <c r="Q60" s="28">
        <f>'1 North Wenatchee Ave'!Q55</f>
        <v>0</v>
      </c>
      <c r="R60" s="29">
        <f t="shared" si="5"/>
        <v>4001898.54</v>
      </c>
    </row>
    <row r="61" spans="2:18" x14ac:dyDescent="0.25">
      <c r="C61" t="s">
        <v>21</v>
      </c>
      <c r="D61" s="7">
        <f>'1 North Wenatchee Ave'!D56</f>
        <v>0</v>
      </c>
      <c r="E61" s="107">
        <f>'1 North Wenatchee Ave'!E56</f>
        <v>0</v>
      </c>
      <c r="F61" s="96">
        <f>'1 North Wenatchee Ave'!F56</f>
        <v>0</v>
      </c>
      <c r="G61" s="28">
        <f>'1 North Wenatchee Ave'!G56</f>
        <v>0</v>
      </c>
      <c r="H61" s="28">
        <f>'1 North Wenatchee Ave'!H56</f>
        <v>0</v>
      </c>
      <c r="I61" s="28">
        <f>'1 North Wenatchee Ave'!I56</f>
        <v>0</v>
      </c>
      <c r="J61" s="41">
        <f>'1 North Wenatchee Ave'!J56</f>
        <v>0</v>
      </c>
      <c r="K61" s="28">
        <f>'1 North Wenatchee Ave'!K56</f>
        <v>0</v>
      </c>
      <c r="L61" s="28">
        <f>'1 North Wenatchee Ave'!L56</f>
        <v>0</v>
      </c>
      <c r="M61" s="28">
        <f>'1 North Wenatchee Ave'!M56</f>
        <v>0</v>
      </c>
      <c r="N61" s="28">
        <f>'1 North Wenatchee Ave'!N56</f>
        <v>0</v>
      </c>
      <c r="O61" s="28">
        <f>'1 North Wenatchee Ave'!O56</f>
        <v>0</v>
      </c>
      <c r="P61" s="28">
        <f>'1 North Wenatchee Ave'!P56</f>
        <v>0</v>
      </c>
      <c r="Q61" s="28">
        <f>'1 North Wenatchee Ave'!Q56</f>
        <v>0</v>
      </c>
      <c r="R61" s="29">
        <f t="shared" si="5"/>
        <v>0</v>
      </c>
    </row>
    <row r="62" spans="2:18" x14ac:dyDescent="0.25">
      <c r="C62" t="s">
        <v>22</v>
      </c>
      <c r="D62" s="7">
        <f>'1 North Wenatchee Ave'!D57</f>
        <v>0</v>
      </c>
      <c r="E62" s="107">
        <f>'1 North Wenatchee Ave'!E57</f>
        <v>3290340</v>
      </c>
      <c r="F62" s="96">
        <f>'1 North Wenatchee Ave'!F57</f>
        <v>48830.83</v>
      </c>
      <c r="G62" s="28">
        <f>'1 North Wenatchee Ave'!G57</f>
        <v>1296669.67</v>
      </c>
      <c r="H62" s="28">
        <f>'1 North Wenatchee Ave'!H57</f>
        <v>678449.86</v>
      </c>
      <c r="I62" s="28">
        <f>'1 North Wenatchee Ave'!I57</f>
        <v>1266389.6400000001</v>
      </c>
      <c r="J62" s="41">
        <f>'1 North Wenatchee Ave'!J57</f>
        <v>0</v>
      </c>
      <c r="K62" s="28">
        <f>'1 North Wenatchee Ave'!K57</f>
        <v>0</v>
      </c>
      <c r="L62" s="28">
        <f>'1 North Wenatchee Ave'!L57</f>
        <v>0</v>
      </c>
      <c r="M62" s="28">
        <f>'1 North Wenatchee Ave'!M57</f>
        <v>0</v>
      </c>
      <c r="N62" s="28">
        <f>'1 North Wenatchee Ave'!N57</f>
        <v>0</v>
      </c>
      <c r="O62" s="28">
        <f>'1 North Wenatchee Ave'!O57</f>
        <v>0</v>
      </c>
      <c r="P62" s="28">
        <f>'1 North Wenatchee Ave'!P57</f>
        <v>0</v>
      </c>
      <c r="Q62" s="28">
        <f>'1 North Wenatchee Ave'!Q57</f>
        <v>0</v>
      </c>
      <c r="R62" s="29">
        <f t="shared" si="5"/>
        <v>3241509.17</v>
      </c>
    </row>
    <row r="63" spans="2:18" x14ac:dyDescent="0.25">
      <c r="C63" t="s">
        <v>37</v>
      </c>
      <c r="D63" s="7">
        <f>'1 North Wenatchee Ave'!D58</f>
        <v>2837000</v>
      </c>
      <c r="E63" s="107">
        <f>'1 North Wenatchee Ave'!E58</f>
        <v>2837000</v>
      </c>
      <c r="F63" s="96">
        <f>'1 North Wenatchee Ave'!F58</f>
        <v>0</v>
      </c>
      <c r="G63" s="28">
        <f>'1 North Wenatchee Ave'!G58</f>
        <v>0</v>
      </c>
      <c r="H63" s="28">
        <f>'1 North Wenatchee Ave'!H58</f>
        <v>0</v>
      </c>
      <c r="I63" s="28">
        <f>'1 North Wenatchee Ave'!I58</f>
        <v>0</v>
      </c>
      <c r="J63" s="41">
        <f>'1 North Wenatchee Ave'!J58</f>
        <v>0</v>
      </c>
      <c r="K63" s="28">
        <f>'1 North Wenatchee Ave'!K58</f>
        <v>0</v>
      </c>
      <c r="L63" s="28">
        <f>'1 North Wenatchee Ave'!L58</f>
        <v>1000000</v>
      </c>
      <c r="M63" s="28">
        <f>'1 North Wenatchee Ave'!M58</f>
        <v>1000000</v>
      </c>
      <c r="N63" s="28">
        <f>'1 North Wenatchee Ave'!N58</f>
        <v>837000</v>
      </c>
      <c r="O63" s="28">
        <f>'1 North Wenatchee Ave'!O58</f>
        <v>0</v>
      </c>
      <c r="P63" s="28">
        <f>'1 North Wenatchee Ave'!P58</f>
        <v>0</v>
      </c>
      <c r="Q63" s="28">
        <f>'1 North Wenatchee Ave'!Q58</f>
        <v>0</v>
      </c>
      <c r="R63" s="29">
        <f t="shared" si="5"/>
        <v>2837000</v>
      </c>
    </row>
    <row r="64" spans="2:18" x14ac:dyDescent="0.25">
      <c r="C64" t="s">
        <v>23</v>
      </c>
      <c r="D64" s="7">
        <f>'1 North Wenatchee Ave'!D59</f>
        <v>23639000</v>
      </c>
      <c r="E64" s="107">
        <f>'1 North Wenatchee Ave'!E59</f>
        <v>25046794</v>
      </c>
      <c r="F64" s="96">
        <f>'1 North Wenatchee Ave'!F59</f>
        <v>0</v>
      </c>
      <c r="G64" s="28">
        <f>'1 North Wenatchee Ave'!G59</f>
        <v>0</v>
      </c>
      <c r="H64" s="28">
        <f>'1 North Wenatchee Ave'!H59</f>
        <v>0</v>
      </c>
      <c r="I64" s="28">
        <f>'1 North Wenatchee Ave'!I59</f>
        <v>0</v>
      </c>
      <c r="J64" s="41">
        <f>'1 North Wenatchee Ave'!J59</f>
        <v>1407794</v>
      </c>
      <c r="K64" s="28">
        <f>'1 North Wenatchee Ave'!K59</f>
        <v>0</v>
      </c>
      <c r="L64" s="28">
        <f>'1 North Wenatchee Ave'!L59</f>
        <v>3000000</v>
      </c>
      <c r="M64" s="28">
        <f>'1 North Wenatchee Ave'!M59</f>
        <v>13000000</v>
      </c>
      <c r="N64" s="28">
        <f>'1 North Wenatchee Ave'!N59</f>
        <v>7639000</v>
      </c>
      <c r="O64" s="28">
        <f>'1 North Wenatchee Ave'!O59</f>
        <v>0</v>
      </c>
      <c r="P64" s="28">
        <f>'1 North Wenatchee Ave'!P59</f>
        <v>0</v>
      </c>
      <c r="Q64" s="28">
        <f>'1 North Wenatchee Ave'!Q59</f>
        <v>0</v>
      </c>
      <c r="R64" s="29">
        <f t="shared" si="5"/>
        <v>25046794</v>
      </c>
    </row>
    <row r="65" spans="1:18" x14ac:dyDescent="0.25">
      <c r="C65" t="s">
        <v>39</v>
      </c>
      <c r="D65" s="7">
        <f>'1 North Wenatchee Ave'!D60</f>
        <v>3002200</v>
      </c>
      <c r="E65" s="107">
        <f>'1 North Wenatchee Ave'!E60</f>
        <v>3002200</v>
      </c>
      <c r="F65" s="96">
        <f>'1 North Wenatchee Ave'!F60</f>
        <v>0</v>
      </c>
      <c r="G65" s="28">
        <f>'1 North Wenatchee Ave'!G60</f>
        <v>0</v>
      </c>
      <c r="H65" s="28">
        <f>'1 North Wenatchee Ave'!H60</f>
        <v>0</v>
      </c>
      <c r="I65" s="28">
        <f>'1 North Wenatchee Ave'!I60</f>
        <v>0</v>
      </c>
      <c r="J65" s="41">
        <f>'1 North Wenatchee Ave'!J60</f>
        <v>0</v>
      </c>
      <c r="K65" s="28">
        <f>'1 North Wenatchee Ave'!K60</f>
        <v>0</v>
      </c>
      <c r="L65" s="28">
        <f>'1 North Wenatchee Ave'!L60</f>
        <v>1000000</v>
      </c>
      <c r="M65" s="28">
        <f>'1 North Wenatchee Ave'!M60</f>
        <v>1000000</v>
      </c>
      <c r="N65" s="28">
        <f>'1 North Wenatchee Ave'!N60</f>
        <v>1002200</v>
      </c>
      <c r="O65" s="28">
        <f>'1 North Wenatchee Ave'!O60</f>
        <v>0</v>
      </c>
      <c r="P65" s="28">
        <f>'1 North Wenatchee Ave'!P60</f>
        <v>0</v>
      </c>
      <c r="Q65" s="28">
        <f>'1 North Wenatchee Ave'!Q60</f>
        <v>0</v>
      </c>
      <c r="R65" s="29">
        <f t="shared" si="5"/>
        <v>3002200</v>
      </c>
    </row>
    <row r="66" spans="1:18" x14ac:dyDescent="0.25">
      <c r="D66" s="7"/>
      <c r="E66" s="107"/>
      <c r="F66" s="96"/>
      <c r="G66" s="28">
        <f>'1 North Wenatchee Ave'!G61</f>
        <v>0</v>
      </c>
      <c r="H66" s="28">
        <f>'1 North Wenatchee Ave'!H61</f>
        <v>0</v>
      </c>
      <c r="I66" s="28">
        <f>'1 North Wenatchee Ave'!I61</f>
        <v>0</v>
      </c>
      <c r="J66" s="41">
        <f>'1 North Wenatchee Ave'!J61</f>
        <v>0</v>
      </c>
      <c r="K66" s="28">
        <f>'1 North Wenatchee Ave'!K61</f>
        <v>0</v>
      </c>
      <c r="L66" s="28">
        <f>'1 North Wenatchee Ave'!L61</f>
        <v>0</v>
      </c>
      <c r="M66" s="28">
        <f>'1 North Wenatchee Ave'!M61</f>
        <v>0</v>
      </c>
      <c r="N66" s="28">
        <f>'1 North Wenatchee Ave'!N61</f>
        <v>0</v>
      </c>
      <c r="O66" s="28">
        <f>'1 North Wenatchee Ave'!O61</f>
        <v>0</v>
      </c>
      <c r="P66" s="28">
        <f>'1 North Wenatchee Ave'!P61</f>
        <v>0</v>
      </c>
      <c r="Q66" s="28">
        <f>'1 North Wenatchee Ave'!Q61</f>
        <v>0</v>
      </c>
      <c r="R66" s="29">
        <f t="shared" si="5"/>
        <v>0</v>
      </c>
    </row>
    <row r="67" spans="1:18" x14ac:dyDescent="0.25">
      <c r="D67" s="7"/>
      <c r="E67" s="107"/>
      <c r="F67" s="96"/>
      <c r="G67" s="28"/>
      <c r="H67" s="43"/>
      <c r="I67" s="43"/>
      <c r="J67" s="104"/>
      <c r="R67" s="29">
        <f t="shared" si="5"/>
        <v>0</v>
      </c>
    </row>
    <row r="68" spans="1:18" x14ac:dyDescent="0.25">
      <c r="B68" t="s">
        <v>42</v>
      </c>
      <c r="D68" s="7">
        <f>'1 North Wenatchee Ave'!D63</f>
        <v>4347096</v>
      </c>
      <c r="E68" s="107">
        <f>'1 North Wenatchee Ave'!E63</f>
        <v>5000001</v>
      </c>
      <c r="F68" s="96">
        <f>'1 North Wenatchee Ave'!F63</f>
        <v>0</v>
      </c>
      <c r="G68" s="87">
        <f>'1 North Wenatchee Ave'!G63</f>
        <v>0</v>
      </c>
      <c r="H68" s="87">
        <f>'1 North Wenatchee Ave'!H63</f>
        <v>3031</v>
      </c>
      <c r="I68" s="87">
        <f>'1 North Wenatchee Ave'!I63</f>
        <v>276959</v>
      </c>
      <c r="J68" s="105">
        <f>'1 North Wenatchee Ave'!J63</f>
        <v>372915</v>
      </c>
      <c r="K68" s="56">
        <f>'1 North Wenatchee Ave'!K63</f>
        <v>48400</v>
      </c>
      <c r="L68" s="56">
        <f>'1 North Wenatchee Ave'!L63</f>
        <v>3296451</v>
      </c>
      <c r="M68" s="42">
        <f>'1 North Wenatchee Ave'!M63</f>
        <v>1002245</v>
      </c>
      <c r="N68" s="28">
        <f>'1 North Wenatchee Ave'!N63</f>
        <v>0</v>
      </c>
      <c r="O68" s="28">
        <f>'1 North Wenatchee Ave'!O63</f>
        <v>0</v>
      </c>
      <c r="P68" s="28">
        <f>'1 North Wenatchee Ave'!P63</f>
        <v>0</v>
      </c>
      <c r="Q68" s="28">
        <f>'1 North Wenatchee Ave'!Q63</f>
        <v>0</v>
      </c>
      <c r="R68" s="29">
        <f t="shared" si="5"/>
        <v>5000001</v>
      </c>
    </row>
    <row r="69" spans="1:18" x14ac:dyDescent="0.25">
      <c r="C69" t="s">
        <v>20</v>
      </c>
      <c r="D69" s="7">
        <f>'1 North Wenatchee Ave'!D64</f>
        <v>6021</v>
      </c>
      <c r="E69" s="107">
        <f>'1 North Wenatchee Ave'!E64</f>
        <v>633926</v>
      </c>
      <c r="F69" s="96">
        <f>'1 North Wenatchee Ave'!F64</f>
        <v>0</v>
      </c>
      <c r="G69" s="28">
        <f>'1 North Wenatchee Ave'!G64</f>
        <v>0</v>
      </c>
      <c r="H69" s="28">
        <f>'1 North Wenatchee Ave'!H64</f>
        <v>3031</v>
      </c>
      <c r="I69" s="28">
        <f>'1 North Wenatchee Ave'!I64</f>
        <v>276959</v>
      </c>
      <c r="J69" s="41">
        <f>'1 North Wenatchee Ave'!J64</f>
        <v>347915</v>
      </c>
      <c r="K69" s="28">
        <f>'1 North Wenatchee Ave'!K64</f>
        <v>6021</v>
      </c>
      <c r="L69" s="28">
        <f>'1 North Wenatchee Ave'!L64</f>
        <v>0</v>
      </c>
      <c r="M69" s="28">
        <f>'1 North Wenatchee Ave'!M64</f>
        <v>0</v>
      </c>
      <c r="N69" s="28">
        <f>'1 North Wenatchee Ave'!N64</f>
        <v>0</v>
      </c>
      <c r="O69" s="28">
        <f>'1 North Wenatchee Ave'!O64</f>
        <v>0</v>
      </c>
      <c r="P69" s="28">
        <f>'1 North Wenatchee Ave'!P64</f>
        <v>0</v>
      </c>
      <c r="Q69" s="28">
        <f>'1 North Wenatchee Ave'!Q64</f>
        <v>0</v>
      </c>
      <c r="R69" s="29">
        <f t="shared" si="5"/>
        <v>633926</v>
      </c>
    </row>
    <row r="70" spans="1:18" x14ac:dyDescent="0.25">
      <c r="C70" t="s">
        <v>21</v>
      </c>
      <c r="D70" s="7">
        <f>'1 North Wenatchee Ave'!D65</f>
        <v>0</v>
      </c>
      <c r="E70" s="107">
        <f>'1 North Wenatchee Ave'!E65</f>
        <v>0</v>
      </c>
      <c r="F70" s="96">
        <f>'1 North Wenatchee Ave'!F65</f>
        <v>0</v>
      </c>
      <c r="G70" s="28">
        <f>'1 North Wenatchee Ave'!G65</f>
        <v>0</v>
      </c>
      <c r="H70" s="28">
        <f>'1 North Wenatchee Ave'!H65</f>
        <v>0</v>
      </c>
      <c r="I70" s="28">
        <f>'1 North Wenatchee Ave'!I65</f>
        <v>0</v>
      </c>
      <c r="J70" s="41">
        <f>'1 North Wenatchee Ave'!J65</f>
        <v>0</v>
      </c>
      <c r="K70" s="28">
        <f>'1 North Wenatchee Ave'!K65</f>
        <v>0</v>
      </c>
      <c r="L70" s="28">
        <f>'1 North Wenatchee Ave'!L65</f>
        <v>0</v>
      </c>
      <c r="M70" s="28">
        <f>'1 North Wenatchee Ave'!M65</f>
        <v>0</v>
      </c>
      <c r="N70" s="28">
        <f>'1 North Wenatchee Ave'!N65</f>
        <v>0</v>
      </c>
      <c r="O70" s="28">
        <f>'1 North Wenatchee Ave'!O65</f>
        <v>0</v>
      </c>
      <c r="P70" s="28">
        <f>'1 North Wenatchee Ave'!P65</f>
        <v>0</v>
      </c>
      <c r="Q70" s="28">
        <f>'1 North Wenatchee Ave'!Q65</f>
        <v>0</v>
      </c>
      <c r="R70" s="29">
        <f t="shared" si="5"/>
        <v>0</v>
      </c>
    </row>
    <row r="71" spans="1:18" x14ac:dyDescent="0.25">
      <c r="C71" t="s">
        <v>22</v>
      </c>
      <c r="D71" s="7">
        <f>'1 North Wenatchee Ave'!D66</f>
        <v>0</v>
      </c>
      <c r="E71" s="107">
        <f>'1 North Wenatchee Ave'!E66</f>
        <v>25000</v>
      </c>
      <c r="F71" s="96">
        <f>'1 North Wenatchee Ave'!F66</f>
        <v>0</v>
      </c>
      <c r="G71" s="28">
        <f>'1 North Wenatchee Ave'!G66</f>
        <v>0</v>
      </c>
      <c r="H71" s="28">
        <f>'1 North Wenatchee Ave'!H66</f>
        <v>0</v>
      </c>
      <c r="I71" s="28">
        <f>'1 North Wenatchee Ave'!I66</f>
        <v>0</v>
      </c>
      <c r="J71" s="41">
        <f>'1 North Wenatchee Ave'!J66</f>
        <v>25000</v>
      </c>
      <c r="K71" s="28">
        <f>'1 North Wenatchee Ave'!K66</f>
        <v>0</v>
      </c>
      <c r="L71" s="28">
        <f>'1 North Wenatchee Ave'!L66</f>
        <v>0</v>
      </c>
      <c r="M71" s="28">
        <f>'1 North Wenatchee Ave'!M66</f>
        <v>0</v>
      </c>
      <c r="N71" s="28">
        <f>'1 North Wenatchee Ave'!N66</f>
        <v>0</v>
      </c>
      <c r="O71" s="28">
        <f>'1 North Wenatchee Ave'!O66</f>
        <v>0</v>
      </c>
      <c r="P71" s="28">
        <f>'1 North Wenatchee Ave'!P66</f>
        <v>0</v>
      </c>
      <c r="Q71" s="28">
        <f>'1 North Wenatchee Ave'!Q66</f>
        <v>0</v>
      </c>
      <c r="R71" s="29">
        <f t="shared" si="5"/>
        <v>25000</v>
      </c>
    </row>
    <row r="72" spans="1:18" x14ac:dyDescent="0.25">
      <c r="C72" t="s">
        <v>37</v>
      </c>
      <c r="D72" s="7">
        <f>'1 North Wenatchee Ave'!D67</f>
        <v>651161.25</v>
      </c>
      <c r="E72" s="107">
        <f>'1 North Wenatchee Ave'!E67</f>
        <v>651161.25</v>
      </c>
      <c r="F72" s="96">
        <f>'1 North Wenatchee Ave'!F67</f>
        <v>0</v>
      </c>
      <c r="G72" s="28">
        <f>'1 North Wenatchee Ave'!G67</f>
        <v>0</v>
      </c>
      <c r="H72" s="28">
        <f>'1 North Wenatchee Ave'!H67</f>
        <v>0</v>
      </c>
      <c r="I72" s="28">
        <f>'1 North Wenatchee Ave'!I67</f>
        <v>0</v>
      </c>
      <c r="J72" s="41">
        <f>'1 North Wenatchee Ave'!J67</f>
        <v>0</v>
      </c>
      <c r="K72" s="28">
        <f>'1 North Wenatchee Ave'!K67</f>
        <v>6356.8499999999995</v>
      </c>
      <c r="L72" s="28">
        <f>'1 North Wenatchee Ave'!L67</f>
        <v>494467.64999999997</v>
      </c>
      <c r="M72" s="28">
        <f>'1 North Wenatchee Ave'!M67</f>
        <v>150336.75</v>
      </c>
      <c r="N72" s="28">
        <f>'1 North Wenatchee Ave'!N67</f>
        <v>0</v>
      </c>
      <c r="O72" s="28">
        <f>'1 North Wenatchee Ave'!O67</f>
        <v>0</v>
      </c>
      <c r="P72" s="28">
        <f>'1 North Wenatchee Ave'!P67</f>
        <v>0</v>
      </c>
      <c r="Q72" s="28">
        <f>'1 North Wenatchee Ave'!Q67</f>
        <v>0</v>
      </c>
      <c r="R72" s="29">
        <f t="shared" si="5"/>
        <v>651161.25</v>
      </c>
    </row>
    <row r="73" spans="1:18" x14ac:dyDescent="0.25">
      <c r="C73" t="s">
        <v>23</v>
      </c>
      <c r="D73" s="7">
        <f>'1 North Wenatchee Ave'!D68</f>
        <v>3255806.25</v>
      </c>
      <c r="E73" s="107">
        <f>'1 North Wenatchee Ave'!E68</f>
        <v>3255806.25</v>
      </c>
      <c r="F73" s="96">
        <f>'1 North Wenatchee Ave'!F68</f>
        <v>0</v>
      </c>
      <c r="G73" s="28">
        <f>'1 North Wenatchee Ave'!G68</f>
        <v>0</v>
      </c>
      <c r="H73" s="28">
        <f>'1 North Wenatchee Ave'!H68</f>
        <v>0</v>
      </c>
      <c r="I73" s="28">
        <f>'1 North Wenatchee Ave'!I68</f>
        <v>0</v>
      </c>
      <c r="J73" s="41">
        <f>'1 North Wenatchee Ave'!J68</f>
        <v>0</v>
      </c>
      <c r="K73" s="28">
        <f>'1 North Wenatchee Ave'!K68</f>
        <v>31784.25</v>
      </c>
      <c r="L73" s="28">
        <f>'1 North Wenatchee Ave'!L68</f>
        <v>2472338.25</v>
      </c>
      <c r="M73" s="28">
        <f>'1 North Wenatchee Ave'!M68</f>
        <v>751683.75</v>
      </c>
      <c r="N73" s="28">
        <f>'1 North Wenatchee Ave'!N68</f>
        <v>0</v>
      </c>
      <c r="O73" s="28">
        <f>'1 North Wenatchee Ave'!O68</f>
        <v>0</v>
      </c>
      <c r="P73" s="28">
        <f>'1 North Wenatchee Ave'!P68</f>
        <v>0</v>
      </c>
      <c r="Q73" s="28">
        <f>'1 North Wenatchee Ave'!Q68</f>
        <v>0</v>
      </c>
      <c r="R73" s="29">
        <f t="shared" si="5"/>
        <v>3255806.25</v>
      </c>
    </row>
    <row r="74" spans="1:18" x14ac:dyDescent="0.25">
      <c r="C74" t="s">
        <v>39</v>
      </c>
      <c r="D74" s="7">
        <f>'1 North Wenatchee Ave'!D69</f>
        <v>434107.50000000006</v>
      </c>
      <c r="E74" s="107">
        <f>'1 North Wenatchee Ave'!E69</f>
        <v>434107.50000000006</v>
      </c>
      <c r="F74" s="96">
        <f>'1 North Wenatchee Ave'!F69</f>
        <v>0</v>
      </c>
      <c r="G74" s="28">
        <f>'1 North Wenatchee Ave'!G69</f>
        <v>0</v>
      </c>
      <c r="H74" s="28">
        <f>'1 North Wenatchee Ave'!H69</f>
        <v>0</v>
      </c>
      <c r="I74" s="28">
        <f>'1 North Wenatchee Ave'!I69</f>
        <v>0</v>
      </c>
      <c r="J74" s="41">
        <f>'1 North Wenatchee Ave'!J69</f>
        <v>0</v>
      </c>
      <c r="K74" s="28">
        <f>'1 North Wenatchee Ave'!K69</f>
        <v>4237.9000000000005</v>
      </c>
      <c r="L74" s="28">
        <f>'1 North Wenatchee Ave'!L69</f>
        <v>329645.10000000003</v>
      </c>
      <c r="M74" s="28">
        <f>'1 North Wenatchee Ave'!M69</f>
        <v>100224.5</v>
      </c>
      <c r="N74" s="28">
        <f>'1 North Wenatchee Ave'!N69</f>
        <v>0</v>
      </c>
      <c r="O74" s="28">
        <f>'1 North Wenatchee Ave'!O69</f>
        <v>0</v>
      </c>
      <c r="P74" s="28">
        <f>'1 North Wenatchee Ave'!P69</f>
        <v>0</v>
      </c>
      <c r="Q74" s="28">
        <f>'1 North Wenatchee Ave'!Q69</f>
        <v>0</v>
      </c>
      <c r="R74" s="29">
        <f t="shared" si="5"/>
        <v>434107.50000000006</v>
      </c>
    </row>
    <row r="75" spans="1:18" x14ac:dyDescent="0.25">
      <c r="D75" s="7"/>
      <c r="E75" s="107"/>
      <c r="F75" s="96"/>
      <c r="G75" s="28">
        <f>'1 North Wenatchee Ave'!G70</f>
        <v>0</v>
      </c>
      <c r="H75" s="28">
        <f>'1 North Wenatchee Ave'!H70</f>
        <v>0</v>
      </c>
      <c r="I75" s="28">
        <f>'1 North Wenatchee Ave'!I70</f>
        <v>0</v>
      </c>
      <c r="J75" s="41">
        <f>'1 North Wenatchee Ave'!J70</f>
        <v>0</v>
      </c>
      <c r="K75" s="28">
        <f>'1 North Wenatchee Ave'!K70</f>
        <v>0</v>
      </c>
      <c r="L75" s="28">
        <f>'1 North Wenatchee Ave'!L70</f>
        <v>0</v>
      </c>
      <c r="M75" s="28">
        <f>'1 North Wenatchee Ave'!M70</f>
        <v>0</v>
      </c>
      <c r="N75" s="28">
        <f>'1 North Wenatchee Ave'!N70</f>
        <v>0</v>
      </c>
      <c r="O75" s="28">
        <f>'1 North Wenatchee Ave'!O70</f>
        <v>0</v>
      </c>
      <c r="P75" s="28">
        <f>'1 North Wenatchee Ave'!P70</f>
        <v>0</v>
      </c>
      <c r="Q75" s="28">
        <f>'1 North Wenatchee Ave'!Q70</f>
        <v>0</v>
      </c>
      <c r="R75" s="29">
        <f t="shared" si="5"/>
        <v>0</v>
      </c>
    </row>
    <row r="76" spans="1:18" x14ac:dyDescent="0.25">
      <c r="D76" s="7"/>
      <c r="E76" s="107"/>
      <c r="F76" s="96"/>
      <c r="G76" s="28"/>
      <c r="H76" s="43"/>
      <c r="I76" s="43"/>
      <c r="J76" s="104"/>
      <c r="R76" s="29">
        <f t="shared" si="5"/>
        <v>0</v>
      </c>
    </row>
    <row r="77" spans="1:18" x14ac:dyDescent="0.25">
      <c r="D77" s="7"/>
      <c r="E77" s="107"/>
      <c r="F77" s="96"/>
      <c r="G77" s="28"/>
      <c r="H77" s="43"/>
      <c r="I77" s="43"/>
      <c r="J77" s="104"/>
      <c r="R77" s="29">
        <f t="shared" si="5"/>
        <v>0</v>
      </c>
    </row>
    <row r="78" spans="1:18" x14ac:dyDescent="0.25">
      <c r="A78" s="2" t="s">
        <v>27</v>
      </c>
      <c r="B78" s="2"/>
      <c r="C78" s="2"/>
      <c r="D78" s="39">
        <f>D80+D89+D98</f>
        <v>137949360</v>
      </c>
      <c r="E78" s="120">
        <f>E80+E89+E98</f>
        <v>141157431</v>
      </c>
      <c r="F78" s="123">
        <f>F80+F89+F98</f>
        <v>620000</v>
      </c>
      <c r="G78" s="66">
        <f t="shared" ref="G78:Q78" si="7">G80+G89+G98</f>
        <v>0</v>
      </c>
      <c r="H78" s="66">
        <f t="shared" si="7"/>
        <v>688071</v>
      </c>
      <c r="I78" s="66">
        <f t="shared" si="7"/>
        <v>900000</v>
      </c>
      <c r="J78" s="67">
        <f t="shared" si="7"/>
        <v>1000000</v>
      </c>
      <c r="K78" s="66">
        <f t="shared" si="7"/>
        <v>4777901</v>
      </c>
      <c r="L78" s="66">
        <f t="shared" si="7"/>
        <v>19789400</v>
      </c>
      <c r="M78" s="66">
        <f t="shared" si="7"/>
        <v>20154056</v>
      </c>
      <c r="N78" s="66">
        <f t="shared" si="7"/>
        <v>56400000</v>
      </c>
      <c r="O78" s="66">
        <f t="shared" si="7"/>
        <v>32255003</v>
      </c>
      <c r="P78" s="66">
        <f t="shared" si="7"/>
        <v>4573000</v>
      </c>
      <c r="Q78" s="67">
        <f t="shared" si="7"/>
        <v>0</v>
      </c>
      <c r="R78" s="58">
        <f t="shared" si="5"/>
        <v>140537431</v>
      </c>
    </row>
    <row r="79" spans="1:18" x14ac:dyDescent="0.25">
      <c r="D79" s="7"/>
      <c r="E79" s="107"/>
      <c r="F79" s="96"/>
      <c r="G79" s="28"/>
      <c r="H79" s="43"/>
      <c r="I79" s="43"/>
      <c r="J79" s="104"/>
      <c r="R79" s="29">
        <f t="shared" si="5"/>
        <v>0</v>
      </c>
    </row>
    <row r="80" spans="1:18" x14ac:dyDescent="0.25">
      <c r="B80" t="s">
        <v>114</v>
      </c>
      <c r="D80" s="7">
        <f>'2 Confluence Parkway'!D45</f>
        <v>61087756</v>
      </c>
      <c r="E80" s="107">
        <f>'2 Confluence Parkway'!E45</f>
        <v>61837756</v>
      </c>
      <c r="F80" s="96">
        <f>'2 Confluence Parkway'!F45</f>
        <v>0</v>
      </c>
      <c r="G80" s="87">
        <f>'2 Confluence Parkway'!G45</f>
        <v>0</v>
      </c>
      <c r="H80" s="87">
        <f>'2 Confluence Parkway'!H45</f>
        <v>50000</v>
      </c>
      <c r="I80" s="87">
        <f>'2 Confluence Parkway'!I45</f>
        <v>200000</v>
      </c>
      <c r="J80" s="105">
        <f>'2 Confluence Parkway'!J45</f>
        <v>500000</v>
      </c>
      <c r="K80" s="87">
        <f>'2 Confluence Parkway'!K45</f>
        <v>2250000</v>
      </c>
      <c r="L80" s="42">
        <f>'2 Confluence Parkway'!L45</f>
        <v>6000000</v>
      </c>
      <c r="M80" s="42">
        <f>'2 Confluence Parkway'!M45</f>
        <v>6388428</v>
      </c>
      <c r="N80" s="42">
        <f>'2 Confluence Parkway'!N45</f>
        <v>31000000</v>
      </c>
      <c r="O80" s="28">
        <f>'2 Confluence Parkway'!O45</f>
        <v>15449328</v>
      </c>
      <c r="P80" s="28">
        <f>'2 Confluence Parkway'!P45</f>
        <v>0</v>
      </c>
      <c r="Q80" s="28">
        <f>'2 Confluence Parkway'!Q45</f>
        <v>0</v>
      </c>
      <c r="R80" s="29">
        <f t="shared" si="5"/>
        <v>61837756</v>
      </c>
    </row>
    <row r="81" spans="2:18" x14ac:dyDescent="0.25">
      <c r="C81" t="s">
        <v>20</v>
      </c>
      <c r="D81" s="7">
        <f>'2 Confluence Parkway'!D46</f>
        <v>4350000</v>
      </c>
      <c r="E81" s="107">
        <f>'2 Confluence Parkway'!E46</f>
        <v>5000000</v>
      </c>
      <c r="F81" s="96">
        <f>'2 Confluence Parkway'!F46</f>
        <v>0</v>
      </c>
      <c r="G81" s="28">
        <f>'2 Confluence Parkway'!G46</f>
        <v>0</v>
      </c>
      <c r="H81" s="28">
        <f>'2 Confluence Parkway'!H46</f>
        <v>50000</v>
      </c>
      <c r="I81" s="28">
        <f>'2 Confluence Parkway'!I46</f>
        <v>100000</v>
      </c>
      <c r="J81" s="41">
        <f>'2 Confluence Parkway'!J46</f>
        <v>500000</v>
      </c>
      <c r="K81" s="28">
        <f>'2 Confluence Parkway'!K46</f>
        <v>1850000</v>
      </c>
      <c r="L81" s="28">
        <f>'2 Confluence Parkway'!L46</f>
        <v>2500000</v>
      </c>
      <c r="M81" s="28">
        <f>'2 Confluence Parkway'!M46</f>
        <v>0</v>
      </c>
      <c r="N81" s="28">
        <f>'2 Confluence Parkway'!N46</f>
        <v>0</v>
      </c>
      <c r="O81" s="28">
        <f>'2 Confluence Parkway'!O46</f>
        <v>0</v>
      </c>
      <c r="P81" s="28">
        <f>'2 Confluence Parkway'!P46</f>
        <v>0</v>
      </c>
      <c r="Q81" s="28">
        <f>'2 Confluence Parkway'!Q46</f>
        <v>0</v>
      </c>
      <c r="R81" s="29">
        <f t="shared" si="5"/>
        <v>5000000</v>
      </c>
    </row>
    <row r="82" spans="2:18" x14ac:dyDescent="0.25">
      <c r="C82" t="s">
        <v>21</v>
      </c>
      <c r="D82" s="7">
        <f>'2 Confluence Parkway'!D47</f>
        <v>0</v>
      </c>
      <c r="E82" s="107">
        <f>'2 Confluence Parkway'!E47</f>
        <v>500000</v>
      </c>
      <c r="F82" s="96">
        <f>'2 Confluence Parkway'!F47</f>
        <v>0</v>
      </c>
      <c r="G82" s="28">
        <f>'2 Confluence Parkway'!G47</f>
        <v>0</v>
      </c>
      <c r="H82" s="28">
        <f>'2 Confluence Parkway'!H47</f>
        <v>0</v>
      </c>
      <c r="I82" s="28">
        <f>'2 Confluence Parkway'!I47</f>
        <v>100000</v>
      </c>
      <c r="J82" s="41">
        <f>'2 Confluence Parkway'!K47</f>
        <v>400000</v>
      </c>
      <c r="K82" s="28">
        <f>'2 Confluence Parkway'!J47</f>
        <v>0</v>
      </c>
      <c r="L82" s="28">
        <f>'2 Confluence Parkway'!L47</f>
        <v>0</v>
      </c>
      <c r="M82" s="28">
        <f>'2 Confluence Parkway'!M47</f>
        <v>0</v>
      </c>
      <c r="N82" s="28">
        <f>'2 Confluence Parkway'!N47</f>
        <v>0</v>
      </c>
      <c r="O82" s="28">
        <f>'2 Confluence Parkway'!O47</f>
        <v>0</v>
      </c>
      <c r="P82" s="28">
        <f>'2 Confluence Parkway'!P47</f>
        <v>0</v>
      </c>
      <c r="Q82" s="28">
        <f>'2 Confluence Parkway'!Q47</f>
        <v>0</v>
      </c>
      <c r="R82" s="29">
        <f t="shared" si="5"/>
        <v>500000</v>
      </c>
    </row>
    <row r="83" spans="2:18" x14ac:dyDescent="0.25">
      <c r="C83" t="s">
        <v>22</v>
      </c>
      <c r="D83" s="7">
        <f>'2 Confluence Parkway'!D48</f>
        <v>9648428</v>
      </c>
      <c r="E83" s="107">
        <f>'2 Confluence Parkway'!E48</f>
        <v>9648428</v>
      </c>
      <c r="F83" s="96">
        <f>'2 Confluence Parkway'!F48</f>
        <v>0</v>
      </c>
      <c r="G83" s="28">
        <f>'2 Confluence Parkway'!G48</f>
        <v>0</v>
      </c>
      <c r="H83" s="28">
        <f>'2 Confluence Parkway'!H48</f>
        <v>0</v>
      </c>
      <c r="I83" s="28">
        <f>'2 Confluence Parkway'!I48</f>
        <v>0</v>
      </c>
      <c r="J83" s="41">
        <f>'2 Confluence Parkway'!J48</f>
        <v>0</v>
      </c>
      <c r="K83" s="28">
        <f>'2 Confluence Parkway'!K48</f>
        <v>0</v>
      </c>
      <c r="L83" s="28">
        <f>'2 Confluence Parkway'!M48</f>
        <v>6148428</v>
      </c>
      <c r="M83" s="28">
        <f>'2 Confluence Parkway'!N48</f>
        <v>0</v>
      </c>
      <c r="N83" s="28">
        <f>'2 Confluence Parkway'!N48</f>
        <v>0</v>
      </c>
      <c r="O83" s="28">
        <f>'2 Confluence Parkway'!O48</f>
        <v>0</v>
      </c>
      <c r="P83" s="28">
        <f>'2 Confluence Parkway'!P48</f>
        <v>0</v>
      </c>
      <c r="Q83" s="28">
        <f>'2 Confluence Parkway'!Q48</f>
        <v>0</v>
      </c>
      <c r="R83" s="29">
        <f t="shared" si="5"/>
        <v>6148428</v>
      </c>
    </row>
    <row r="84" spans="2:18" x14ac:dyDescent="0.25">
      <c r="C84" t="s">
        <v>37</v>
      </c>
      <c r="D84" s="7">
        <f>'2 Confluence Parkway'!D49</f>
        <v>4400000</v>
      </c>
      <c r="E84" s="107">
        <f>'2 Confluence Parkway'!E49</f>
        <v>4400000</v>
      </c>
      <c r="F84" s="96">
        <f>'2 Confluence Parkway'!F49</f>
        <v>0</v>
      </c>
      <c r="G84" s="28">
        <f>'2 Confluence Parkway'!G49</f>
        <v>0</v>
      </c>
      <c r="H84" s="28">
        <f>'2 Confluence Parkway'!H49</f>
        <v>0</v>
      </c>
      <c r="I84" s="28">
        <f>'2 Confluence Parkway'!I49</f>
        <v>0</v>
      </c>
      <c r="J84" s="41">
        <f>'2 Confluence Parkway'!J49</f>
        <v>0</v>
      </c>
      <c r="K84" s="28">
        <f>'2 Confluence Parkway'!K49</f>
        <v>0</v>
      </c>
      <c r="L84" s="28">
        <f>'2 Confluence Parkway'!M49</f>
        <v>240000</v>
      </c>
      <c r="M84" s="28">
        <f>'2 Confluence Parkway'!N49</f>
        <v>3000000</v>
      </c>
      <c r="N84" s="28">
        <f>'2 Confluence Parkway'!O49</f>
        <v>1160000</v>
      </c>
      <c r="O84" s="28">
        <f>'2 Confluence Parkway'!P49</f>
        <v>0</v>
      </c>
      <c r="P84" s="28">
        <f>'2 Confluence Parkway'!P49</f>
        <v>0</v>
      </c>
      <c r="Q84" s="28">
        <f>'2 Confluence Parkway'!Q49</f>
        <v>0</v>
      </c>
      <c r="R84" s="29">
        <f t="shared" si="5"/>
        <v>4400000</v>
      </c>
    </row>
    <row r="85" spans="2:18" x14ac:dyDescent="0.25">
      <c r="C85" t="s">
        <v>23</v>
      </c>
      <c r="D85" s="7">
        <f>'2 Confluence Parkway'!D50</f>
        <v>36669000</v>
      </c>
      <c r="E85" s="107">
        <f>'2 Confluence Parkway'!E50</f>
        <v>36669000</v>
      </c>
      <c r="F85" s="96">
        <f>'2 Confluence Parkway'!F50</f>
        <v>0</v>
      </c>
      <c r="G85" s="28">
        <f>'2 Confluence Parkway'!G50</f>
        <v>0</v>
      </c>
      <c r="H85" s="28">
        <f>'2 Confluence Parkway'!H50</f>
        <v>0</v>
      </c>
      <c r="I85" s="28">
        <f>'2 Confluence Parkway'!I50</f>
        <v>0</v>
      </c>
      <c r="J85" s="41">
        <f>'2 Confluence Parkway'!J50</f>
        <v>0</v>
      </c>
      <c r="K85" s="28">
        <f>'2 Confluence Parkway'!K50</f>
        <v>0</v>
      </c>
      <c r="L85" s="28">
        <f>'2 Confluence Parkway'!M50</f>
        <v>0</v>
      </c>
      <c r="M85" s="28">
        <f>'2 Confluence Parkway'!N50</f>
        <v>25000000</v>
      </c>
      <c r="N85" s="28">
        <f>'2 Confluence Parkway'!O50</f>
        <v>11669000</v>
      </c>
      <c r="O85" s="28">
        <f>'2 Confluence Parkway'!P50</f>
        <v>0</v>
      </c>
      <c r="P85" s="28">
        <f>'2 Confluence Parkway'!P50</f>
        <v>0</v>
      </c>
      <c r="Q85" s="28">
        <f>'2 Confluence Parkway'!Q50</f>
        <v>0</v>
      </c>
      <c r="R85" s="29">
        <f t="shared" si="5"/>
        <v>36669000</v>
      </c>
    </row>
    <row r="86" spans="2:18" x14ac:dyDescent="0.25">
      <c r="C86" t="s">
        <v>39</v>
      </c>
      <c r="D86" s="7">
        <f>'2 Confluence Parkway'!D51</f>
        <v>5620328</v>
      </c>
      <c r="E86" s="107">
        <f>'2 Confluence Parkway'!E51</f>
        <v>5620328</v>
      </c>
      <c r="F86" s="96">
        <f>'2 Confluence Parkway'!F51</f>
        <v>0</v>
      </c>
      <c r="G86" s="28">
        <f>'2 Confluence Parkway'!G51</f>
        <v>0</v>
      </c>
      <c r="H86" s="28">
        <f>'2 Confluence Parkway'!H51</f>
        <v>0</v>
      </c>
      <c r="I86" s="28">
        <f>'2 Confluence Parkway'!I51</f>
        <v>0</v>
      </c>
      <c r="J86" s="41">
        <f>'2 Confluence Parkway'!J51</f>
        <v>0</v>
      </c>
      <c r="K86" s="28">
        <f>'2 Confluence Parkway'!L51</f>
        <v>0</v>
      </c>
      <c r="L86" s="28">
        <f>'2 Confluence Parkway'!M51</f>
        <v>0</v>
      </c>
      <c r="M86" s="28">
        <f>'2 Confluence Parkway'!N51</f>
        <v>3000000</v>
      </c>
      <c r="N86" s="28">
        <f>'2 Confluence Parkway'!O51</f>
        <v>2620328</v>
      </c>
      <c r="O86" s="28">
        <f>'2 Confluence Parkway'!P51</f>
        <v>0</v>
      </c>
      <c r="P86" s="28">
        <f>'2 Confluence Parkway'!P51</f>
        <v>0</v>
      </c>
      <c r="Q86" s="28">
        <f>'2 Confluence Parkway'!Q51</f>
        <v>0</v>
      </c>
      <c r="R86" s="29">
        <f t="shared" si="5"/>
        <v>5620328</v>
      </c>
    </row>
    <row r="87" spans="2:18" x14ac:dyDescent="0.25">
      <c r="D87" s="7"/>
      <c r="E87" s="107"/>
      <c r="F87" s="96"/>
      <c r="G87" s="28">
        <f>'2 Confluence Parkway'!G52</f>
        <v>0</v>
      </c>
      <c r="H87" s="28">
        <f>'2 Confluence Parkway'!H52</f>
        <v>0</v>
      </c>
      <c r="I87" s="28">
        <f>'2 Confluence Parkway'!I52</f>
        <v>0</v>
      </c>
      <c r="J87" s="41">
        <f>'2 Confluence Parkway'!J52</f>
        <v>0</v>
      </c>
      <c r="K87" s="28">
        <f>'2 Confluence Parkway'!L52</f>
        <v>0</v>
      </c>
      <c r="L87" s="28">
        <f>'2 Confluence Parkway'!M52</f>
        <v>0</v>
      </c>
      <c r="M87" s="28">
        <f>'2 Confluence Parkway'!M52</f>
        <v>0</v>
      </c>
      <c r="N87" s="28">
        <f>'2 Confluence Parkway'!N52</f>
        <v>0</v>
      </c>
      <c r="O87" s="28">
        <f>'2 Confluence Parkway'!O52</f>
        <v>0</v>
      </c>
      <c r="P87" s="28">
        <f>'2 Confluence Parkway'!P52</f>
        <v>0</v>
      </c>
      <c r="Q87" s="28">
        <f>'2 Confluence Parkway'!Q52</f>
        <v>0</v>
      </c>
      <c r="R87" s="29">
        <f t="shared" si="5"/>
        <v>0</v>
      </c>
    </row>
    <row r="88" spans="2:18" x14ac:dyDescent="0.25">
      <c r="D88" s="7"/>
      <c r="E88" s="107"/>
      <c r="F88" s="96"/>
      <c r="G88" s="28"/>
      <c r="H88" s="43"/>
      <c r="I88" s="43"/>
      <c r="J88" s="104"/>
      <c r="R88" s="29">
        <f t="shared" si="5"/>
        <v>0</v>
      </c>
    </row>
    <row r="89" spans="2:18" x14ac:dyDescent="0.25">
      <c r="B89" t="s">
        <v>113</v>
      </c>
      <c r="D89" s="7">
        <f>'2 Confluence Parkway'!D54</f>
        <v>66861604</v>
      </c>
      <c r="E89" s="107">
        <f>'2 Confluence Parkway'!E54</f>
        <v>69269675</v>
      </c>
      <c r="F89" s="96">
        <f>'2 Confluence Parkway'!F54</f>
        <v>570000</v>
      </c>
      <c r="G89" s="87">
        <f>'2 Confluence Parkway'!G54</f>
        <v>0</v>
      </c>
      <c r="H89" s="87">
        <f>'2 Confluence Parkway'!H54</f>
        <v>638071</v>
      </c>
      <c r="I89" s="87">
        <f>'2 Confluence Parkway'!I54</f>
        <v>700000</v>
      </c>
      <c r="J89" s="105">
        <f>'2 Confluence Parkway'!J54</f>
        <v>500000</v>
      </c>
      <c r="K89" s="87">
        <f>'2 Confluence Parkway'!K54</f>
        <v>1727901</v>
      </c>
      <c r="L89" s="42">
        <f>'2 Confluence Parkway'!L54</f>
        <v>9189400</v>
      </c>
      <c r="M89" s="42">
        <f>'2 Confluence Parkway'!M54</f>
        <v>9165628</v>
      </c>
      <c r="N89" s="42">
        <f>'2 Confluence Parkway'!N54</f>
        <v>25400000</v>
      </c>
      <c r="O89" s="42">
        <f>'2 Confluence Parkway'!O54</f>
        <v>16805675</v>
      </c>
      <c r="P89" s="28">
        <f>'2 Confluence Parkway'!P54</f>
        <v>4573000</v>
      </c>
      <c r="Q89" s="28">
        <f>'2 Confluence Parkway'!Q54</f>
        <v>0</v>
      </c>
      <c r="R89" s="29">
        <f t="shared" si="5"/>
        <v>68699675</v>
      </c>
    </row>
    <row r="90" spans="2:18" x14ac:dyDescent="0.25">
      <c r="C90" t="s">
        <v>20</v>
      </c>
      <c r="D90" s="7">
        <f>'2 Confluence Parkway'!D55</f>
        <v>4699578</v>
      </c>
      <c r="E90" s="107">
        <f>'2 Confluence Parkway'!E55</f>
        <v>5711000</v>
      </c>
      <c r="F90" s="96">
        <f>'2 Confluence Parkway'!F55</f>
        <v>320000</v>
      </c>
      <c r="G90" s="28">
        <f>'2 Confluence Parkway'!G55</f>
        <v>0</v>
      </c>
      <c r="H90" s="28">
        <f>'2 Confluence Parkway'!H55</f>
        <v>208762</v>
      </c>
      <c r="I90" s="28">
        <f>'2 Confluence Parkway'!I55</f>
        <v>200000</v>
      </c>
      <c r="J90" s="41">
        <f>'2 Confluence Parkway'!J55</f>
        <v>282660</v>
      </c>
      <c r="K90" s="28">
        <f>'2 Confluence Parkway'!K55</f>
        <v>1000000</v>
      </c>
      <c r="L90" s="28">
        <f>'2 Confluence Parkway'!L55</f>
        <v>3699578</v>
      </c>
      <c r="M90" s="28">
        <f>'2 Confluence Parkway'!M55</f>
        <v>0</v>
      </c>
      <c r="N90" s="28">
        <f>'2 Confluence Parkway'!N55</f>
        <v>0</v>
      </c>
      <c r="O90" s="28">
        <f>'2 Confluence Parkway'!O55</f>
        <v>0</v>
      </c>
      <c r="P90" s="28">
        <f>'2 Confluence Parkway'!P55</f>
        <v>0</v>
      </c>
      <c r="Q90" s="28">
        <f>'2 Confluence Parkway'!Q55</f>
        <v>0</v>
      </c>
      <c r="R90" s="29">
        <f t="shared" si="5"/>
        <v>5391000</v>
      </c>
    </row>
    <row r="91" spans="2:18" x14ac:dyDescent="0.25">
      <c r="C91" t="s">
        <v>21</v>
      </c>
      <c r="D91" s="7">
        <f>'2 Confluence Parkway'!D56</f>
        <v>1053351</v>
      </c>
      <c r="E91" s="107">
        <f>'2 Confluence Parkway'!E56</f>
        <v>2450000</v>
      </c>
      <c r="F91" s="96">
        <f>'2 Confluence Parkway'!F56</f>
        <v>250000</v>
      </c>
      <c r="G91" s="28">
        <f>'2 Confluence Parkway'!G56</f>
        <v>0</v>
      </c>
      <c r="H91" s="28">
        <f>'2 Confluence Parkway'!H56</f>
        <v>429309</v>
      </c>
      <c r="I91" s="28">
        <f>'2 Confluence Parkway'!I56</f>
        <v>500000</v>
      </c>
      <c r="J91" s="41">
        <f>'2 Confluence Parkway'!J56</f>
        <v>217340</v>
      </c>
      <c r="K91" s="28">
        <f>'2 Confluence Parkway'!K56</f>
        <v>727901</v>
      </c>
      <c r="L91" s="28">
        <f>'2 Confluence Parkway'!L56</f>
        <v>325450</v>
      </c>
      <c r="M91" s="28">
        <f>'2 Confluence Parkway'!M56</f>
        <v>0</v>
      </c>
      <c r="N91" s="28">
        <f>'2 Confluence Parkway'!N56</f>
        <v>0</v>
      </c>
      <c r="O91" s="28">
        <f>'2 Confluence Parkway'!O56</f>
        <v>0</v>
      </c>
      <c r="P91" s="28">
        <f>'2 Confluence Parkway'!P56</f>
        <v>0</v>
      </c>
      <c r="Q91" s="28">
        <f>'2 Confluence Parkway'!Q56</f>
        <v>0</v>
      </c>
      <c r="R91" s="29">
        <f t="shared" si="5"/>
        <v>2200000</v>
      </c>
    </row>
    <row r="92" spans="2:18" x14ac:dyDescent="0.25">
      <c r="C92" t="s">
        <v>22</v>
      </c>
      <c r="D92" s="7">
        <f>'2 Confluence Parkway'!D57</f>
        <v>9970000</v>
      </c>
      <c r="E92" s="107">
        <f>'2 Confluence Parkway'!E57</f>
        <v>9970000</v>
      </c>
      <c r="F92" s="96">
        <f>'2 Confluence Parkway'!F57</f>
        <v>0</v>
      </c>
      <c r="G92" s="28">
        <f>'2 Confluence Parkway'!G57</f>
        <v>0</v>
      </c>
      <c r="H92" s="28">
        <f>'2 Confluence Parkway'!H57</f>
        <v>0</v>
      </c>
      <c r="I92" s="28">
        <f>'2 Confluence Parkway'!I57</f>
        <v>0</v>
      </c>
      <c r="J92" s="41">
        <f>'2 Confluence Parkway'!J57</f>
        <v>0</v>
      </c>
      <c r="K92" s="28">
        <f>'2 Confluence Parkway'!L57</f>
        <v>5164372</v>
      </c>
      <c r="L92" s="28">
        <f>'2 Confluence Parkway'!M57</f>
        <v>4805628</v>
      </c>
      <c r="M92" s="28">
        <f>'2 Confluence Parkway'!N57</f>
        <v>0</v>
      </c>
      <c r="N92" s="28">
        <f>'2 Confluence Parkway'!N57</f>
        <v>0</v>
      </c>
      <c r="O92" s="28">
        <f>'2 Confluence Parkway'!O57</f>
        <v>0</v>
      </c>
      <c r="P92" s="28">
        <f>'2 Confluence Parkway'!P57</f>
        <v>0</v>
      </c>
      <c r="Q92" s="28">
        <f>'2 Confluence Parkway'!Q57</f>
        <v>0</v>
      </c>
      <c r="R92" s="29">
        <f t="shared" si="5"/>
        <v>9970000</v>
      </c>
    </row>
    <row r="93" spans="2:18" x14ac:dyDescent="0.25">
      <c r="C93" t="s">
        <v>37</v>
      </c>
      <c r="D93" s="7">
        <f>'2 Confluence Parkway'!D58</f>
        <v>4312700</v>
      </c>
      <c r="E93" s="107">
        <f>'2 Confluence Parkway'!E58</f>
        <v>4312700</v>
      </c>
      <c r="F93" s="96">
        <f>'2 Confluence Parkway'!F58</f>
        <v>0</v>
      </c>
      <c r="G93" s="28">
        <f>'2 Confluence Parkway'!G58</f>
        <v>0</v>
      </c>
      <c r="H93" s="28">
        <f>'2 Confluence Parkway'!H58</f>
        <v>0</v>
      </c>
      <c r="I93" s="28">
        <f>'2 Confluence Parkway'!I58</f>
        <v>0</v>
      </c>
      <c r="J93" s="41">
        <f>'2 Confluence Parkway'!J58</f>
        <v>0</v>
      </c>
      <c r="K93" s="28">
        <f>'2 Confluence Parkway'!K58</f>
        <v>0</v>
      </c>
      <c r="L93" s="28">
        <f>'2 Confluence Parkway'!M58</f>
        <v>360000</v>
      </c>
      <c r="M93" s="28">
        <f>'2 Confluence Parkway'!N58</f>
        <v>2400000</v>
      </c>
      <c r="N93" s="28">
        <f>'2 Confluence Parkway'!O58</f>
        <v>1200000</v>
      </c>
      <c r="O93" s="28">
        <f>'2 Confluence Parkway'!P58</f>
        <v>352700</v>
      </c>
      <c r="P93" s="28">
        <f>'2 Confluence Parkway'!Q58</f>
        <v>0</v>
      </c>
      <c r="Q93" s="28">
        <f>'2 Confluence Parkway'!Q58</f>
        <v>0</v>
      </c>
      <c r="R93" s="29">
        <f t="shared" si="5"/>
        <v>4312700</v>
      </c>
    </row>
    <row r="94" spans="2:18" x14ac:dyDescent="0.25">
      <c r="C94" t="s">
        <v>23</v>
      </c>
      <c r="D94" s="7">
        <f>'2 Confluence Parkway'!D59</f>
        <v>35939000</v>
      </c>
      <c r="E94" s="107">
        <f>'2 Confluence Parkway'!E59</f>
        <v>35939000</v>
      </c>
      <c r="F94" s="96">
        <f>'2 Confluence Parkway'!F59</f>
        <v>0</v>
      </c>
      <c r="G94" s="28">
        <f>'2 Confluence Parkway'!G59</f>
        <v>0</v>
      </c>
      <c r="H94" s="28">
        <f>'2 Confluence Parkway'!H59</f>
        <v>0</v>
      </c>
      <c r="I94" s="28">
        <f>'2 Confluence Parkway'!I59</f>
        <v>0</v>
      </c>
      <c r="J94" s="41">
        <f>'2 Confluence Parkway'!J59</f>
        <v>0</v>
      </c>
      <c r="K94" s="28">
        <f>'2 Confluence Parkway'!K59</f>
        <v>0</v>
      </c>
      <c r="L94" s="28">
        <f>'2 Confluence Parkway'!M59</f>
        <v>3000000</v>
      </c>
      <c r="M94" s="28">
        <f>'2 Confluence Parkway'!N59</f>
        <v>20000000</v>
      </c>
      <c r="N94" s="28">
        <f>'2 Confluence Parkway'!O59</f>
        <v>10000000</v>
      </c>
      <c r="O94" s="28">
        <f>'2 Confluence Parkway'!P59</f>
        <v>2939000</v>
      </c>
      <c r="P94" s="28">
        <f>'2 Confluence Parkway'!Q59</f>
        <v>0</v>
      </c>
      <c r="Q94" s="28">
        <f>'2 Confluence Parkway'!Q59</f>
        <v>0</v>
      </c>
      <c r="R94" s="29">
        <f t="shared" si="5"/>
        <v>35939000</v>
      </c>
    </row>
    <row r="95" spans="2:18" x14ac:dyDescent="0.25">
      <c r="C95" t="s">
        <v>39</v>
      </c>
      <c r="D95" s="7">
        <f>'2 Confluence Parkway'!D60</f>
        <v>10886975</v>
      </c>
      <c r="E95" s="107">
        <f>'2 Confluence Parkway'!E60</f>
        <v>10886975</v>
      </c>
      <c r="F95" s="96">
        <f>'2 Confluence Parkway'!F60</f>
        <v>0</v>
      </c>
      <c r="G95" s="28">
        <f>'2 Confluence Parkway'!G60</f>
        <v>0</v>
      </c>
      <c r="H95" s="28">
        <f>'2 Confluence Parkway'!H60</f>
        <v>0</v>
      </c>
      <c r="I95" s="28">
        <f>'2 Confluence Parkway'!I60</f>
        <v>0</v>
      </c>
      <c r="J95" s="41">
        <f>'2 Confluence Parkway'!J60</f>
        <v>0</v>
      </c>
      <c r="K95" s="28">
        <f>'2 Confluence Parkway'!K60</f>
        <v>0</v>
      </c>
      <c r="L95" s="28">
        <f>'2 Confluence Parkway'!M60</f>
        <v>1000000</v>
      </c>
      <c r="M95" s="28">
        <f>'2 Confluence Parkway'!N60</f>
        <v>3000000</v>
      </c>
      <c r="N95" s="28">
        <f>'2 Confluence Parkway'!O60</f>
        <v>5605675</v>
      </c>
      <c r="O95" s="28">
        <f>'2 Confluence Parkway'!P60</f>
        <v>1281300</v>
      </c>
      <c r="P95" s="28">
        <f>'2 Confluence Parkway'!Q60</f>
        <v>0</v>
      </c>
      <c r="Q95" s="28">
        <f>'2 Confluence Parkway'!Q60</f>
        <v>0</v>
      </c>
      <c r="R95" s="29">
        <f t="shared" si="5"/>
        <v>10886975</v>
      </c>
    </row>
    <row r="96" spans="2:18" x14ac:dyDescent="0.25">
      <c r="D96" s="7"/>
      <c r="E96" s="107"/>
      <c r="F96" s="96"/>
      <c r="G96" s="28">
        <f>'2 Confluence Parkway'!G61</f>
        <v>0</v>
      </c>
      <c r="H96" s="28">
        <f>'2 Confluence Parkway'!H61</f>
        <v>0</v>
      </c>
      <c r="I96" s="28">
        <f>'2 Confluence Parkway'!I61</f>
        <v>0</v>
      </c>
      <c r="J96" s="41">
        <f>'2 Confluence Parkway'!J61</f>
        <v>0</v>
      </c>
      <c r="K96" s="28">
        <f>'2 Confluence Parkway'!K61</f>
        <v>0</v>
      </c>
      <c r="L96" s="28">
        <f>'2 Confluence Parkway'!L61</f>
        <v>0</v>
      </c>
      <c r="M96" s="28">
        <f>'2 Confluence Parkway'!M61</f>
        <v>0</v>
      </c>
      <c r="N96" s="28">
        <f>'2 Confluence Parkway'!N61</f>
        <v>0</v>
      </c>
      <c r="O96" s="28">
        <f>'2 Confluence Parkway'!O61</f>
        <v>0</v>
      </c>
      <c r="P96" s="28">
        <f>'2 Confluence Parkway'!P61</f>
        <v>0</v>
      </c>
      <c r="Q96" s="28">
        <f>'2 Confluence Parkway'!Q61</f>
        <v>0</v>
      </c>
      <c r="R96" s="29">
        <f t="shared" si="5"/>
        <v>0</v>
      </c>
    </row>
    <row r="97" spans="1:18" x14ac:dyDescent="0.25">
      <c r="D97" s="7"/>
      <c r="E97" s="107"/>
      <c r="F97" s="96"/>
      <c r="G97" s="28"/>
      <c r="H97" s="43"/>
      <c r="I97" s="43"/>
      <c r="J97" s="104"/>
      <c r="R97" s="29">
        <f t="shared" si="5"/>
        <v>0</v>
      </c>
    </row>
    <row r="98" spans="1:18" x14ac:dyDescent="0.25">
      <c r="A98" s="2"/>
      <c r="B98" t="s">
        <v>296</v>
      </c>
      <c r="C98" s="2"/>
      <c r="D98" s="7">
        <f>'2 Confluence Parkway'!D64</f>
        <v>10000000</v>
      </c>
      <c r="E98" s="107">
        <f>'2 Confluence Parkway'!E64</f>
        <v>10050000</v>
      </c>
      <c r="F98" s="96">
        <f>'2 Confluence Parkway'!F64</f>
        <v>50000</v>
      </c>
      <c r="G98" s="87">
        <f>'2 Confluence Parkway'!G64</f>
        <v>0</v>
      </c>
      <c r="H98" s="87">
        <f>'2 Confluence Parkway'!H64</f>
        <v>0</v>
      </c>
      <c r="I98" s="87">
        <f>'2 Confluence Parkway'!I64</f>
        <v>0</v>
      </c>
      <c r="J98" s="105">
        <f>'2 Confluence Parkway'!J64</f>
        <v>0</v>
      </c>
      <c r="K98" s="87">
        <f>'2 Confluence Parkway'!K64</f>
        <v>800000</v>
      </c>
      <c r="L98" s="42">
        <f>'2 Confluence Parkway'!L64</f>
        <v>4600000</v>
      </c>
      <c r="M98" s="42">
        <f>'2 Confluence Parkway'!M64</f>
        <v>4600000</v>
      </c>
      <c r="N98" s="53">
        <f>'2 Confluence Parkway'!N64</f>
        <v>0</v>
      </c>
      <c r="O98" s="53">
        <f>'2 Confluence Parkway'!O64</f>
        <v>0</v>
      </c>
      <c r="P98" s="53">
        <f>'2 Confluence Parkway'!P64</f>
        <v>0</v>
      </c>
      <c r="Q98" s="54">
        <f>'2 Confluence Parkway'!Q64</f>
        <v>0</v>
      </c>
      <c r="R98" s="29">
        <f t="shared" si="5"/>
        <v>10000000</v>
      </c>
    </row>
    <row r="99" spans="1:18" x14ac:dyDescent="0.25">
      <c r="C99" t="s">
        <v>20</v>
      </c>
      <c r="D99" s="7">
        <f>'2 Confluence Parkway'!D65</f>
        <v>600000</v>
      </c>
      <c r="E99" s="107">
        <f>'2 Confluence Parkway'!E65</f>
        <v>650000</v>
      </c>
      <c r="F99" s="96">
        <f>'2 Confluence Parkway'!F65</f>
        <v>50000</v>
      </c>
      <c r="G99" s="53">
        <f>'2 Confluence Parkway'!G65</f>
        <v>0</v>
      </c>
      <c r="H99" s="53">
        <f>'2 Confluence Parkway'!H65</f>
        <v>0</v>
      </c>
      <c r="I99" s="53">
        <f>'2 Confluence Parkway'!I65</f>
        <v>0</v>
      </c>
      <c r="J99" s="54">
        <f>'2 Confluence Parkway'!J65</f>
        <v>0</v>
      </c>
      <c r="K99" s="53">
        <f>'2 Confluence Parkway'!K65</f>
        <v>600000</v>
      </c>
      <c r="L99" s="53">
        <f>'2 Confluence Parkway'!L65</f>
        <v>0</v>
      </c>
      <c r="M99" s="53">
        <f>'2 Confluence Parkway'!M65</f>
        <v>0</v>
      </c>
      <c r="N99" s="53">
        <f>'2 Confluence Parkway'!N65</f>
        <v>0</v>
      </c>
      <c r="O99" s="53">
        <f>'2 Confluence Parkway'!O65</f>
        <v>0</v>
      </c>
      <c r="P99" s="53">
        <f>'2 Confluence Parkway'!P65</f>
        <v>0</v>
      </c>
      <c r="Q99" s="54">
        <f>'2 Confluence Parkway'!Q65</f>
        <v>0</v>
      </c>
      <c r="R99" s="29">
        <f t="shared" si="5"/>
        <v>600000</v>
      </c>
    </row>
    <row r="100" spans="1:18" x14ac:dyDescent="0.25">
      <c r="C100" t="s">
        <v>21</v>
      </c>
      <c r="D100" s="7">
        <f>'2 Confluence Parkway'!D66</f>
        <v>200000</v>
      </c>
      <c r="E100" s="107">
        <f>'2 Confluence Parkway'!E66</f>
        <v>200000</v>
      </c>
      <c r="F100" s="96">
        <f>'2 Confluence Parkway'!F66</f>
        <v>0</v>
      </c>
      <c r="G100" s="53">
        <f>'2 Confluence Parkway'!G66</f>
        <v>0</v>
      </c>
      <c r="H100" s="53">
        <f>'2 Confluence Parkway'!H66</f>
        <v>0</v>
      </c>
      <c r="I100" s="53">
        <f>'2 Confluence Parkway'!I66</f>
        <v>0</v>
      </c>
      <c r="J100" s="54">
        <f>'2 Confluence Parkway'!J66</f>
        <v>0</v>
      </c>
      <c r="K100" s="53">
        <f>'2 Confluence Parkway'!K66</f>
        <v>200000</v>
      </c>
      <c r="L100" s="53">
        <f>'2 Confluence Parkway'!L66</f>
        <v>0</v>
      </c>
      <c r="M100" s="53">
        <f>'2 Confluence Parkway'!M66</f>
        <v>0</v>
      </c>
      <c r="N100" s="53">
        <f>'2 Confluence Parkway'!N66</f>
        <v>0</v>
      </c>
      <c r="O100" s="53">
        <f>'2 Confluence Parkway'!O66</f>
        <v>0</v>
      </c>
      <c r="P100" s="53">
        <f>'2 Confluence Parkway'!P66</f>
        <v>0</v>
      </c>
      <c r="Q100" s="54">
        <f>'2 Confluence Parkway'!Q66</f>
        <v>0</v>
      </c>
      <c r="R100" s="29">
        <f t="shared" si="5"/>
        <v>200000</v>
      </c>
    </row>
    <row r="101" spans="1:18" x14ac:dyDescent="0.25">
      <c r="C101" t="s">
        <v>22</v>
      </c>
      <c r="D101" s="7">
        <f>'2 Confluence Parkway'!D67</f>
        <v>0</v>
      </c>
      <c r="E101" s="107">
        <f>'2 Confluence Parkway'!E67</f>
        <v>0</v>
      </c>
      <c r="F101" s="96">
        <f>'2 Confluence Parkway'!F67</f>
        <v>0</v>
      </c>
      <c r="G101" s="53">
        <f>'2 Confluence Parkway'!G67</f>
        <v>0</v>
      </c>
      <c r="H101" s="53">
        <f>'2 Confluence Parkway'!H67</f>
        <v>0</v>
      </c>
      <c r="I101" s="53">
        <f>'2 Confluence Parkway'!I67</f>
        <v>0</v>
      </c>
      <c r="J101" s="54">
        <f>'2 Confluence Parkway'!J67</f>
        <v>0</v>
      </c>
      <c r="K101" s="53">
        <f>'2 Confluence Parkway'!K67</f>
        <v>0</v>
      </c>
      <c r="L101" s="53">
        <f>'2 Confluence Parkway'!L67</f>
        <v>0</v>
      </c>
      <c r="M101" s="53">
        <f>'2 Confluence Parkway'!M67</f>
        <v>0</v>
      </c>
      <c r="N101" s="53">
        <f>'2 Confluence Parkway'!N67</f>
        <v>0</v>
      </c>
      <c r="O101" s="53">
        <f>'2 Confluence Parkway'!O67</f>
        <v>0</v>
      </c>
      <c r="P101" s="53">
        <f>'2 Confluence Parkway'!P67</f>
        <v>0</v>
      </c>
      <c r="Q101" s="54">
        <f>'2 Confluence Parkway'!Q67</f>
        <v>0</v>
      </c>
      <c r="R101" s="29">
        <f t="shared" si="5"/>
        <v>0</v>
      </c>
    </row>
    <row r="102" spans="1:18" x14ac:dyDescent="0.25">
      <c r="C102" t="s">
        <v>37</v>
      </c>
      <c r="D102" s="7">
        <f>'2 Confluence Parkway'!D68</f>
        <v>1040000</v>
      </c>
      <c r="E102" s="107">
        <f>'2 Confluence Parkway'!E68</f>
        <v>1040000</v>
      </c>
      <c r="F102" s="96">
        <f>'2 Confluence Parkway'!F68</f>
        <v>0</v>
      </c>
      <c r="G102" s="53">
        <f>'2 Confluence Parkway'!G68</f>
        <v>0</v>
      </c>
      <c r="H102" s="53">
        <f>'2 Confluence Parkway'!H68</f>
        <v>0</v>
      </c>
      <c r="I102" s="53">
        <f>'2 Confluence Parkway'!I68</f>
        <v>0</v>
      </c>
      <c r="J102" s="54">
        <f>'2 Confluence Parkway'!J68</f>
        <v>0</v>
      </c>
      <c r="K102" s="53">
        <f>'2 Confluence Parkway'!K68</f>
        <v>0</v>
      </c>
      <c r="L102" s="53">
        <f>'2 Confluence Parkway'!L68</f>
        <v>520000</v>
      </c>
      <c r="M102" s="53">
        <f>'2 Confluence Parkway'!M68</f>
        <v>520000</v>
      </c>
      <c r="N102" s="53">
        <f>'2 Confluence Parkway'!N68</f>
        <v>0</v>
      </c>
      <c r="O102" s="53">
        <f>'2 Confluence Parkway'!O68</f>
        <v>0</v>
      </c>
      <c r="P102" s="53">
        <f>'2 Confluence Parkway'!P68</f>
        <v>0</v>
      </c>
      <c r="Q102" s="54">
        <f>'2 Confluence Parkway'!Q68</f>
        <v>0</v>
      </c>
      <c r="R102" s="29">
        <f t="shared" si="5"/>
        <v>1040000</v>
      </c>
    </row>
    <row r="103" spans="1:18" x14ac:dyDescent="0.25">
      <c r="C103" t="s">
        <v>23</v>
      </c>
      <c r="D103" s="7">
        <f>'2 Confluence Parkway'!D69</f>
        <v>5400000</v>
      </c>
      <c r="E103" s="107">
        <f>'2 Confluence Parkway'!E69</f>
        <v>5400000</v>
      </c>
      <c r="F103" s="96">
        <f>'2 Confluence Parkway'!F69</f>
        <v>0</v>
      </c>
      <c r="G103" s="53">
        <f>'2 Confluence Parkway'!G69</f>
        <v>0</v>
      </c>
      <c r="H103" s="53">
        <f>'2 Confluence Parkway'!H69</f>
        <v>0</v>
      </c>
      <c r="I103" s="53">
        <f>'2 Confluence Parkway'!I69</f>
        <v>0</v>
      </c>
      <c r="J103" s="54">
        <f>'2 Confluence Parkway'!J69</f>
        <v>0</v>
      </c>
      <c r="K103" s="53">
        <f>'2 Confluence Parkway'!K69</f>
        <v>0</v>
      </c>
      <c r="L103" s="53">
        <f>'2 Confluence Parkway'!L69</f>
        <v>2700000</v>
      </c>
      <c r="M103" s="53">
        <f>'2 Confluence Parkway'!M69</f>
        <v>2700000</v>
      </c>
      <c r="N103" s="53">
        <f>'2 Confluence Parkway'!N69</f>
        <v>0</v>
      </c>
      <c r="O103" s="53">
        <f>'2 Confluence Parkway'!O69</f>
        <v>0</v>
      </c>
      <c r="P103" s="53">
        <f>'2 Confluence Parkway'!P69</f>
        <v>0</v>
      </c>
      <c r="Q103" s="54">
        <f>'2 Confluence Parkway'!Q69</f>
        <v>0</v>
      </c>
      <c r="R103" s="29">
        <f t="shared" si="5"/>
        <v>5400000</v>
      </c>
    </row>
    <row r="104" spans="1:18" x14ac:dyDescent="0.25">
      <c r="C104" t="s">
        <v>40</v>
      </c>
      <c r="D104" s="7">
        <f>'2 Confluence Parkway'!D70</f>
        <v>2760000</v>
      </c>
      <c r="E104" s="107">
        <f>'2 Confluence Parkway'!E70</f>
        <v>2760000</v>
      </c>
      <c r="F104" s="96">
        <f>'2 Confluence Parkway'!F70</f>
        <v>0</v>
      </c>
      <c r="G104" s="53">
        <f>'2 Confluence Parkway'!G70</f>
        <v>0</v>
      </c>
      <c r="H104" s="53">
        <f>'2 Confluence Parkway'!H70</f>
        <v>0</v>
      </c>
      <c r="I104" s="53">
        <f>'2 Confluence Parkway'!I70</f>
        <v>0</v>
      </c>
      <c r="J104" s="54">
        <f>'2 Confluence Parkway'!J70</f>
        <v>0</v>
      </c>
      <c r="K104" s="53">
        <f>'2 Confluence Parkway'!K70</f>
        <v>0</v>
      </c>
      <c r="L104" s="53">
        <f>'2 Confluence Parkway'!L70</f>
        <v>1380000</v>
      </c>
      <c r="M104" s="53">
        <f>'2 Confluence Parkway'!M70</f>
        <v>1380000</v>
      </c>
      <c r="N104" s="53">
        <f>'2 Confluence Parkway'!N70</f>
        <v>0</v>
      </c>
      <c r="O104" s="53">
        <f>'2 Confluence Parkway'!O70</f>
        <v>0</v>
      </c>
      <c r="P104" s="53">
        <f>'2 Confluence Parkway'!P70</f>
        <v>0</v>
      </c>
      <c r="Q104" s="54">
        <f>'2 Confluence Parkway'!Q70</f>
        <v>0</v>
      </c>
      <c r="R104" s="29">
        <f t="shared" si="5"/>
        <v>2760000</v>
      </c>
    </row>
    <row r="105" spans="1:18" x14ac:dyDescent="0.25">
      <c r="D105" s="7"/>
      <c r="E105" s="107"/>
      <c r="F105" s="96"/>
      <c r="G105" s="28"/>
      <c r="H105" s="43"/>
      <c r="I105" s="43"/>
      <c r="J105" s="104"/>
      <c r="R105" s="29">
        <f t="shared" si="5"/>
        <v>0</v>
      </c>
    </row>
    <row r="106" spans="1:18" x14ac:dyDescent="0.25">
      <c r="A106" s="2" t="s">
        <v>55</v>
      </c>
      <c r="B106" s="2"/>
      <c r="C106" s="2"/>
      <c r="D106" s="39">
        <f>D108+D117</f>
        <v>16364756</v>
      </c>
      <c r="E106" s="120">
        <f>E108+E117</f>
        <v>17242134</v>
      </c>
      <c r="F106" s="124">
        <f>F108+F117</f>
        <v>264082</v>
      </c>
      <c r="G106" s="66">
        <f t="shared" ref="G106:Q106" si="8">G108+G117</f>
        <v>139257</v>
      </c>
      <c r="H106" s="66">
        <f t="shared" si="8"/>
        <v>474039</v>
      </c>
      <c r="I106" s="66">
        <f t="shared" si="8"/>
        <v>0</v>
      </c>
      <c r="J106" s="67">
        <f t="shared" si="8"/>
        <v>0</v>
      </c>
      <c r="K106" s="66">
        <f t="shared" si="8"/>
        <v>741601</v>
      </c>
      <c r="L106" s="66">
        <f t="shared" si="8"/>
        <v>600216</v>
      </c>
      <c r="M106" s="66">
        <f t="shared" si="8"/>
        <v>7306266</v>
      </c>
      <c r="N106" s="66">
        <f t="shared" si="8"/>
        <v>5016969</v>
      </c>
      <c r="O106" s="66">
        <f t="shared" si="8"/>
        <v>2699704</v>
      </c>
      <c r="P106" s="66">
        <f t="shared" si="8"/>
        <v>0</v>
      </c>
      <c r="Q106" s="67">
        <f t="shared" si="8"/>
        <v>0</v>
      </c>
      <c r="R106" s="58">
        <f t="shared" si="5"/>
        <v>16978052</v>
      </c>
    </row>
    <row r="107" spans="1:18" x14ac:dyDescent="0.25">
      <c r="D107" s="7"/>
      <c r="E107" s="107"/>
      <c r="F107" s="96"/>
      <c r="G107" s="28"/>
      <c r="H107" s="43"/>
      <c r="I107" s="43"/>
      <c r="J107" s="104"/>
      <c r="R107" s="29">
        <f t="shared" si="5"/>
        <v>0</v>
      </c>
    </row>
    <row r="108" spans="1:18" x14ac:dyDescent="0.25">
      <c r="B108" t="s">
        <v>54</v>
      </c>
      <c r="D108" s="16">
        <f>'3 Cascade Int'!D45</f>
        <v>16364756</v>
      </c>
      <c r="E108" s="107">
        <f>'3 Cascade Int'!E45</f>
        <v>16628838</v>
      </c>
      <c r="F108" s="100">
        <f>'3 Cascade Int'!F45</f>
        <v>264082</v>
      </c>
      <c r="G108" s="87">
        <f>'3 Cascade Int'!G45</f>
        <v>0</v>
      </c>
      <c r="H108" s="87">
        <f>'3 Cascade Int'!H45</f>
        <v>0</v>
      </c>
      <c r="I108" s="87">
        <f>'3 Cascade Int'!I45</f>
        <v>0</v>
      </c>
      <c r="J108" s="172">
        <f>'3 Cascade Int'!J45</f>
        <v>0</v>
      </c>
      <c r="K108" s="87">
        <f>'3 Cascade Int'!K45</f>
        <v>741601</v>
      </c>
      <c r="L108" s="87">
        <f>'3 Cascade Int'!L45</f>
        <v>600216</v>
      </c>
      <c r="M108" s="42">
        <f>'3 Cascade Int'!M45</f>
        <v>7306266</v>
      </c>
      <c r="N108" s="42">
        <f>'3 Cascade Int'!N45</f>
        <v>5016969</v>
      </c>
      <c r="O108" s="42">
        <f>'3 Cascade Int'!O45</f>
        <v>2699704</v>
      </c>
      <c r="P108" s="28">
        <f>'3 Cascade Int'!P45</f>
        <v>0</v>
      </c>
      <c r="Q108" s="28">
        <f>'3 Cascade Int'!Q45</f>
        <v>0</v>
      </c>
      <c r="R108" s="29">
        <f t="shared" si="5"/>
        <v>16364756</v>
      </c>
    </row>
    <row r="109" spans="1:18" x14ac:dyDescent="0.25">
      <c r="C109" t="s">
        <v>20</v>
      </c>
      <c r="D109" s="16">
        <f>'3 Cascade Int'!D47</f>
        <v>1072179</v>
      </c>
      <c r="E109" s="107">
        <f>'3 Cascade Int'!E47</f>
        <v>1336261</v>
      </c>
      <c r="F109" s="100">
        <f>'3 Cascade Int'!F47</f>
        <v>264082</v>
      </c>
      <c r="G109" s="28">
        <f>'3 Cascade Int'!G47</f>
        <v>0</v>
      </c>
      <c r="H109" s="28">
        <f>'3 Cascade Int'!H47</f>
        <v>0</v>
      </c>
      <c r="I109" s="28">
        <f>'3 Cascade Int'!I47</f>
        <v>0</v>
      </c>
      <c r="J109" s="41">
        <f>'3 Cascade Int'!J47</f>
        <v>0</v>
      </c>
      <c r="K109" s="28">
        <f>'3 Cascade Int'!K47</f>
        <v>635658</v>
      </c>
      <c r="L109" s="28">
        <f>'3 Cascade Int'!L47</f>
        <v>436521</v>
      </c>
      <c r="M109" s="28">
        <f>'3 Cascade Int'!M47</f>
        <v>0</v>
      </c>
      <c r="N109" s="28">
        <f>'3 Cascade Int'!N47</f>
        <v>0</v>
      </c>
      <c r="O109" s="28">
        <f>'3 Cascade Int'!O47</f>
        <v>0</v>
      </c>
      <c r="P109" s="28">
        <f>'3 Cascade Int'!P47</f>
        <v>0</v>
      </c>
      <c r="Q109" s="28">
        <f>'3 Cascade Int'!Q47</f>
        <v>0</v>
      </c>
      <c r="R109" s="29">
        <f t="shared" si="5"/>
        <v>1072179</v>
      </c>
    </row>
    <row r="110" spans="1:18" x14ac:dyDescent="0.25">
      <c r="C110" t="s">
        <v>21</v>
      </c>
      <c r="D110" s="16">
        <f>'3 Cascade Int'!D48</f>
        <v>269638</v>
      </c>
      <c r="E110" s="107">
        <f>'3 Cascade Int'!E48</f>
        <v>269638</v>
      </c>
      <c r="F110" s="100">
        <f>'3 Cascade Int'!F48</f>
        <v>0</v>
      </c>
      <c r="G110" s="28">
        <f>'3 Cascade Int'!G48</f>
        <v>0</v>
      </c>
      <c r="H110" s="28">
        <f>'3 Cascade Int'!H48</f>
        <v>0</v>
      </c>
      <c r="I110" s="28">
        <f>'3 Cascade Int'!I48</f>
        <v>0</v>
      </c>
      <c r="J110" s="41">
        <f>'3 Cascade Int'!J48</f>
        <v>0</v>
      </c>
      <c r="K110" s="28">
        <f>'3 Cascade Int'!K48</f>
        <v>105943</v>
      </c>
      <c r="L110" s="28">
        <f>'3 Cascade Int'!L48</f>
        <v>163695</v>
      </c>
      <c r="M110" s="28">
        <f>'3 Cascade Int'!M48</f>
        <v>0</v>
      </c>
      <c r="N110" s="28">
        <f>'3 Cascade Int'!N48</f>
        <v>0</v>
      </c>
      <c r="O110" s="28">
        <f>'3 Cascade Int'!O48</f>
        <v>0</v>
      </c>
      <c r="P110" s="28">
        <f>'3 Cascade Int'!P48</f>
        <v>0</v>
      </c>
      <c r="Q110" s="28">
        <f>'3 Cascade Int'!Q48</f>
        <v>0</v>
      </c>
      <c r="R110" s="29">
        <f t="shared" si="5"/>
        <v>269638</v>
      </c>
    </row>
    <row r="111" spans="1:18" x14ac:dyDescent="0.25">
      <c r="C111" t="s">
        <v>22</v>
      </c>
      <c r="D111" s="16">
        <f>'3 Cascade Int'!D49</f>
        <v>0</v>
      </c>
      <c r="E111" s="107">
        <f>'3 Cascade Int'!E49</f>
        <v>0</v>
      </c>
      <c r="F111" s="100">
        <f>'3 Cascade Int'!F49</f>
        <v>0</v>
      </c>
      <c r="G111" s="28">
        <f>'3 Cascade Int'!G49</f>
        <v>0</v>
      </c>
      <c r="H111" s="28">
        <f>'3 Cascade Int'!H49</f>
        <v>0</v>
      </c>
      <c r="I111" s="28">
        <f>'3 Cascade Int'!I49</f>
        <v>0</v>
      </c>
      <c r="J111" s="41">
        <f>'3 Cascade Int'!J49</f>
        <v>0</v>
      </c>
      <c r="K111" s="28">
        <f>'3 Cascade Int'!K49</f>
        <v>0</v>
      </c>
      <c r="L111" s="28">
        <f>'3 Cascade Int'!L49</f>
        <v>0</v>
      </c>
      <c r="M111" s="28">
        <f>'3 Cascade Int'!M49</f>
        <v>0</v>
      </c>
      <c r="N111" s="28">
        <f>'3 Cascade Int'!N49</f>
        <v>0</v>
      </c>
      <c r="O111" s="28">
        <f>'3 Cascade Int'!O49</f>
        <v>0</v>
      </c>
      <c r="P111" s="28">
        <f>'3 Cascade Int'!P49</f>
        <v>0</v>
      </c>
      <c r="Q111" s="28">
        <f>'3 Cascade Int'!Q49</f>
        <v>0</v>
      </c>
      <c r="R111" s="29">
        <f t="shared" ref="R111:R132" si="9">SUM(G111:Q111)</f>
        <v>0</v>
      </c>
    </row>
    <row r="112" spans="1:18" x14ac:dyDescent="0.25">
      <c r="C112" t="s">
        <v>37</v>
      </c>
      <c r="D112" s="16">
        <f>'3 Cascade Int'!D50</f>
        <v>1421912</v>
      </c>
      <c r="E112" s="107">
        <f>'3 Cascade Int'!E50</f>
        <v>1421912</v>
      </c>
      <c r="F112" s="100">
        <f>'3 Cascade Int'!F50</f>
        <v>0</v>
      </c>
      <c r="G112" s="28">
        <f>'3 Cascade Int'!G50</f>
        <v>0</v>
      </c>
      <c r="H112" s="28">
        <f>'3 Cascade Int'!H50</f>
        <v>0</v>
      </c>
      <c r="I112" s="28">
        <f>'3 Cascade Int'!I50</f>
        <v>0</v>
      </c>
      <c r="J112" s="41">
        <f>'3 Cascade Int'!J50</f>
        <v>0</v>
      </c>
      <c r="K112" s="28">
        <f>'3 Cascade Int'!K50</f>
        <v>0</v>
      </c>
      <c r="L112" s="28">
        <f>'3 Cascade Int'!L50</f>
        <v>0</v>
      </c>
      <c r="M112" s="28">
        <f>'3 Cascade Int'!M50</f>
        <v>843031</v>
      </c>
      <c r="N112" s="28">
        <f>'3 Cascade Int'!N50</f>
        <v>578881</v>
      </c>
      <c r="O112" s="28">
        <f>'3 Cascade Int'!O50</f>
        <v>0</v>
      </c>
      <c r="P112" s="28">
        <f>'3 Cascade Int'!P50</f>
        <v>0</v>
      </c>
      <c r="Q112" s="28">
        <f>'3 Cascade Int'!Q50</f>
        <v>0</v>
      </c>
      <c r="R112" s="29">
        <f t="shared" si="9"/>
        <v>1421912</v>
      </c>
    </row>
    <row r="113" spans="1:18" x14ac:dyDescent="0.25">
      <c r="C113" t="s">
        <v>23</v>
      </c>
      <c r="D113" s="16">
        <f>'3 Cascade Int'!D51</f>
        <v>12179115</v>
      </c>
      <c r="E113" s="107">
        <f>'3 Cascade Int'!E51</f>
        <v>12179115</v>
      </c>
      <c r="F113" s="100">
        <f>'3 Cascade Int'!F51</f>
        <v>0</v>
      </c>
      <c r="G113" s="28">
        <f>'3 Cascade Int'!G51</f>
        <v>0</v>
      </c>
      <c r="H113" s="28">
        <f>'3 Cascade Int'!H51</f>
        <v>0</v>
      </c>
      <c r="I113" s="28">
        <f>'3 Cascade Int'!I51</f>
        <v>0</v>
      </c>
      <c r="J113" s="41">
        <f>'3 Cascade Int'!J51</f>
        <v>0</v>
      </c>
      <c r="K113" s="28">
        <f>'3 Cascade Int'!K51</f>
        <v>0</v>
      </c>
      <c r="L113" s="28">
        <f>'3 Cascade Int'!L51</f>
        <v>0</v>
      </c>
      <c r="M113" s="28">
        <f>'3 Cascade Int'!M51</f>
        <v>5620204</v>
      </c>
      <c r="N113" s="28">
        <f>'3 Cascade Int'!N51</f>
        <v>3859207</v>
      </c>
      <c r="O113" s="28">
        <f>'3 Cascade Int'!O51</f>
        <v>2699704</v>
      </c>
      <c r="P113" s="28">
        <f>'3 Cascade Int'!P51</f>
        <v>0</v>
      </c>
      <c r="Q113" s="28">
        <f>'3 Cascade Int'!Q51</f>
        <v>0</v>
      </c>
      <c r="R113" s="29">
        <f t="shared" si="9"/>
        <v>12179115</v>
      </c>
    </row>
    <row r="114" spans="1:18" x14ac:dyDescent="0.25">
      <c r="C114" t="s">
        <v>39</v>
      </c>
      <c r="D114" s="16">
        <f>'3 Cascade Int'!D52</f>
        <v>1421912</v>
      </c>
      <c r="E114" s="110">
        <f>'3 Cascade Int'!E52</f>
        <v>1421912</v>
      </c>
      <c r="F114" s="100">
        <f>'3 Cascade Int'!F52</f>
        <v>0</v>
      </c>
      <c r="G114" s="28">
        <f>'3 Cascade Int'!G52</f>
        <v>0</v>
      </c>
      <c r="H114" s="28">
        <f>'3 Cascade Int'!H52</f>
        <v>0</v>
      </c>
      <c r="I114" s="28">
        <f>'3 Cascade Int'!I52</f>
        <v>0</v>
      </c>
      <c r="J114" s="41">
        <f>'3 Cascade Int'!J52</f>
        <v>0</v>
      </c>
      <c r="K114" s="28">
        <f>'3 Cascade Int'!K52</f>
        <v>0</v>
      </c>
      <c r="L114" s="28">
        <f>'3 Cascade Int'!L52</f>
        <v>0</v>
      </c>
      <c r="M114" s="28">
        <f>'3 Cascade Int'!M52</f>
        <v>843031</v>
      </c>
      <c r="N114" s="28">
        <f>'3 Cascade Int'!N52</f>
        <v>578881</v>
      </c>
      <c r="O114" s="28">
        <f>'3 Cascade Int'!O52</f>
        <v>0</v>
      </c>
      <c r="P114" s="28">
        <f>'3 Cascade Int'!P52</f>
        <v>0</v>
      </c>
      <c r="Q114" s="28">
        <f>'3 Cascade Int'!Q52</f>
        <v>0</v>
      </c>
      <c r="R114" s="29">
        <f t="shared" si="9"/>
        <v>1421912</v>
      </c>
    </row>
    <row r="115" spans="1:18" x14ac:dyDescent="0.25">
      <c r="D115" s="16"/>
      <c r="E115" s="110"/>
      <c r="F115" s="100"/>
      <c r="G115" s="28">
        <f>'3 Cascade Int'!G53</f>
        <v>0</v>
      </c>
      <c r="H115" s="28">
        <f>'3 Cascade Int'!H53</f>
        <v>0</v>
      </c>
      <c r="I115" s="28">
        <f>'3 Cascade Int'!I53</f>
        <v>0</v>
      </c>
      <c r="J115" s="41">
        <f>'3 Cascade Int'!J53</f>
        <v>0</v>
      </c>
      <c r="K115" s="28">
        <f>'3 Cascade Int'!K53</f>
        <v>0</v>
      </c>
      <c r="L115" s="28">
        <f>'3 Cascade Int'!L53</f>
        <v>0</v>
      </c>
      <c r="M115" s="28">
        <f>'3 Cascade Int'!M53</f>
        <v>0</v>
      </c>
      <c r="N115" s="28">
        <f>'3 Cascade Int'!N53</f>
        <v>0</v>
      </c>
      <c r="O115" s="28">
        <f>'3 Cascade Int'!O53</f>
        <v>0</v>
      </c>
      <c r="P115" s="28">
        <f>'3 Cascade Int'!P53</f>
        <v>0</v>
      </c>
      <c r="Q115" s="28">
        <f>'3 Cascade Int'!Q53</f>
        <v>0</v>
      </c>
      <c r="R115" s="29">
        <f t="shared" si="9"/>
        <v>0</v>
      </c>
    </row>
    <row r="116" spans="1:18" x14ac:dyDescent="0.25">
      <c r="D116" s="16"/>
      <c r="E116" s="110"/>
      <c r="F116" s="100"/>
      <c r="G116" s="28"/>
      <c r="H116" s="43"/>
      <c r="I116" s="43"/>
      <c r="J116" s="104"/>
      <c r="R116" s="29">
        <f t="shared" si="9"/>
        <v>0</v>
      </c>
    </row>
    <row r="117" spans="1:18" x14ac:dyDescent="0.25">
      <c r="B117" t="s">
        <v>53</v>
      </c>
      <c r="C117" t="s">
        <v>57</v>
      </c>
      <c r="D117" s="16">
        <f>'3 Cascade Int'!D55</f>
        <v>0</v>
      </c>
      <c r="E117" s="110">
        <f>'3 Cascade Int'!E55</f>
        <v>613296</v>
      </c>
      <c r="F117" s="100">
        <f>'3 Cascade Int'!F55</f>
        <v>0</v>
      </c>
      <c r="G117" s="87">
        <f>'3 Cascade Int'!G55</f>
        <v>139257</v>
      </c>
      <c r="H117" s="87">
        <f>'3 Cascade Int'!H55</f>
        <v>474039</v>
      </c>
      <c r="I117" s="53">
        <f>'3 Cascade Int'!I55</f>
        <v>0</v>
      </c>
      <c r="J117" s="41">
        <f>'3 Cascade Int'!J55</f>
        <v>0</v>
      </c>
      <c r="K117" s="28">
        <f>'3 Cascade Int'!K55</f>
        <v>0</v>
      </c>
      <c r="L117" s="28">
        <f>'3 Cascade Int'!L55</f>
        <v>0</v>
      </c>
      <c r="M117" s="28">
        <f>'3 Cascade Int'!M55</f>
        <v>0</v>
      </c>
      <c r="N117" s="28">
        <f>'3 Cascade Int'!N55</f>
        <v>0</v>
      </c>
      <c r="O117" s="28">
        <f>'3 Cascade Int'!O55</f>
        <v>0</v>
      </c>
      <c r="P117" s="28">
        <f>'3 Cascade Int'!P55</f>
        <v>0</v>
      </c>
      <c r="Q117" s="28">
        <f>'3 Cascade Int'!Q55</f>
        <v>0</v>
      </c>
      <c r="R117" s="29">
        <f t="shared" si="9"/>
        <v>613296</v>
      </c>
    </row>
    <row r="118" spans="1:18" x14ac:dyDescent="0.25">
      <c r="C118" t="s">
        <v>20</v>
      </c>
      <c r="D118" s="16">
        <f>'3 Cascade Int'!D57</f>
        <v>0</v>
      </c>
      <c r="E118" s="110">
        <f>'3 Cascade Int'!E57</f>
        <v>502992</v>
      </c>
      <c r="F118" s="100">
        <f>'3 Cascade Int'!F57</f>
        <v>0</v>
      </c>
      <c r="G118" s="28">
        <f>'3 Cascade Int'!G57</f>
        <v>139257</v>
      </c>
      <c r="H118" s="28">
        <f>'3 Cascade Int'!H57</f>
        <v>363735</v>
      </c>
      <c r="I118" s="28">
        <f>'3 Cascade Int'!I57</f>
        <v>0</v>
      </c>
      <c r="J118" s="41">
        <f>'3 Cascade Int'!J57</f>
        <v>0</v>
      </c>
      <c r="K118" s="28">
        <f>'3 Cascade Int'!K57</f>
        <v>0</v>
      </c>
      <c r="L118" s="28">
        <f>'3 Cascade Int'!L57</f>
        <v>0</v>
      </c>
      <c r="M118" s="28">
        <f>'3 Cascade Int'!M57</f>
        <v>0</v>
      </c>
      <c r="N118" s="28">
        <f>'3 Cascade Int'!N57</f>
        <v>0</v>
      </c>
      <c r="O118" s="28">
        <f>'3 Cascade Int'!O57</f>
        <v>0</v>
      </c>
      <c r="P118" s="28">
        <f>'3 Cascade Int'!P57</f>
        <v>0</v>
      </c>
      <c r="Q118" s="28">
        <f>'3 Cascade Int'!Q57</f>
        <v>0</v>
      </c>
      <c r="R118" s="29">
        <f t="shared" si="9"/>
        <v>502992</v>
      </c>
    </row>
    <row r="119" spans="1:18" x14ac:dyDescent="0.25">
      <c r="C119" t="s">
        <v>21</v>
      </c>
      <c r="D119" s="16">
        <f>'3 Cascade Int'!D58</f>
        <v>0</v>
      </c>
      <c r="E119" s="110">
        <f>'3 Cascade Int'!E58</f>
        <v>0</v>
      </c>
      <c r="F119" s="100">
        <f>'3 Cascade Int'!F58</f>
        <v>0</v>
      </c>
      <c r="G119" s="28">
        <f>'3 Cascade Int'!G58</f>
        <v>0</v>
      </c>
      <c r="H119" s="28">
        <f>'3 Cascade Int'!H58</f>
        <v>0</v>
      </c>
      <c r="I119" s="28">
        <f>'3 Cascade Int'!I58</f>
        <v>0</v>
      </c>
      <c r="J119" s="41">
        <f>'3 Cascade Int'!J58</f>
        <v>0</v>
      </c>
      <c r="K119" s="28">
        <f>'3 Cascade Int'!K58</f>
        <v>0</v>
      </c>
      <c r="L119" s="28">
        <f>'3 Cascade Int'!L58</f>
        <v>0</v>
      </c>
      <c r="M119" s="28">
        <f>'3 Cascade Int'!M58</f>
        <v>0</v>
      </c>
      <c r="N119" s="28">
        <f>'3 Cascade Int'!N58</f>
        <v>0</v>
      </c>
      <c r="O119" s="28">
        <f>'3 Cascade Int'!O58</f>
        <v>0</v>
      </c>
      <c r="P119" s="28">
        <f>'3 Cascade Int'!P58</f>
        <v>0</v>
      </c>
      <c r="Q119" s="28">
        <f>'3 Cascade Int'!Q58</f>
        <v>0</v>
      </c>
      <c r="R119" s="29">
        <f t="shared" si="9"/>
        <v>0</v>
      </c>
    </row>
    <row r="120" spans="1:18" x14ac:dyDescent="0.25">
      <c r="C120" t="s">
        <v>22</v>
      </c>
      <c r="D120" s="16">
        <f>'3 Cascade Int'!D59</f>
        <v>0</v>
      </c>
      <c r="E120" s="110">
        <f>'3 Cascade Int'!E59</f>
        <v>110304</v>
      </c>
      <c r="F120" s="100">
        <f>'3 Cascade Int'!F59</f>
        <v>0</v>
      </c>
      <c r="G120" s="28">
        <f>'3 Cascade Int'!G59</f>
        <v>0</v>
      </c>
      <c r="H120" s="28">
        <f>'3 Cascade Int'!H59</f>
        <v>110304</v>
      </c>
      <c r="I120" s="28">
        <f>'3 Cascade Int'!I59</f>
        <v>0</v>
      </c>
      <c r="J120" s="41">
        <f>'3 Cascade Int'!J59</f>
        <v>0</v>
      </c>
      <c r="K120" s="28">
        <f>'3 Cascade Int'!K59</f>
        <v>0</v>
      </c>
      <c r="L120" s="28">
        <f>'3 Cascade Int'!L59</f>
        <v>0</v>
      </c>
      <c r="M120" s="28">
        <f>'3 Cascade Int'!M59</f>
        <v>0</v>
      </c>
      <c r="N120" s="28">
        <f>'3 Cascade Int'!N59</f>
        <v>0</v>
      </c>
      <c r="O120" s="28">
        <f>'3 Cascade Int'!O59</f>
        <v>0</v>
      </c>
      <c r="P120" s="28">
        <f>'3 Cascade Int'!P59</f>
        <v>0</v>
      </c>
      <c r="Q120" s="28">
        <f>'3 Cascade Int'!Q59</f>
        <v>0</v>
      </c>
      <c r="R120" s="29">
        <f t="shared" si="9"/>
        <v>110304</v>
      </c>
    </row>
    <row r="121" spans="1:18" x14ac:dyDescent="0.25">
      <c r="C121" t="s">
        <v>37</v>
      </c>
      <c r="D121" s="16">
        <f>'3 Cascade Int'!D60</f>
        <v>0</v>
      </c>
      <c r="E121" s="110">
        <f>'3 Cascade Int'!E60</f>
        <v>0</v>
      </c>
      <c r="F121" s="100">
        <f>'3 Cascade Int'!F60</f>
        <v>0</v>
      </c>
      <c r="G121" s="28">
        <f>'3 Cascade Int'!G60</f>
        <v>0</v>
      </c>
      <c r="H121" s="28">
        <f>'3 Cascade Int'!H60</f>
        <v>0</v>
      </c>
      <c r="I121" s="28">
        <f>'3 Cascade Int'!I60</f>
        <v>0</v>
      </c>
      <c r="J121" s="41">
        <f>'3 Cascade Int'!J60</f>
        <v>0</v>
      </c>
      <c r="K121" s="28">
        <f>'3 Cascade Int'!K60</f>
        <v>0</v>
      </c>
      <c r="L121" s="28">
        <f>'3 Cascade Int'!L60</f>
        <v>0</v>
      </c>
      <c r="M121" s="28">
        <f>'3 Cascade Int'!M60</f>
        <v>0</v>
      </c>
      <c r="N121" s="28">
        <f>'3 Cascade Int'!N60</f>
        <v>0</v>
      </c>
      <c r="O121" s="28">
        <f>'3 Cascade Int'!O60</f>
        <v>0</v>
      </c>
      <c r="P121" s="28">
        <f>'3 Cascade Int'!P60</f>
        <v>0</v>
      </c>
      <c r="Q121" s="28">
        <f>'3 Cascade Int'!Q60</f>
        <v>0</v>
      </c>
      <c r="R121" s="29">
        <f t="shared" si="9"/>
        <v>0</v>
      </c>
    </row>
    <row r="122" spans="1:18" x14ac:dyDescent="0.25">
      <c r="C122" t="s">
        <v>23</v>
      </c>
      <c r="D122" s="16">
        <f>'3 Cascade Int'!D61</f>
        <v>0</v>
      </c>
      <c r="E122" s="110">
        <f>'3 Cascade Int'!E61</f>
        <v>0</v>
      </c>
      <c r="F122" s="100">
        <f>'3 Cascade Int'!F61</f>
        <v>0</v>
      </c>
      <c r="G122" s="28">
        <f>'3 Cascade Int'!G61</f>
        <v>0</v>
      </c>
      <c r="H122" s="28">
        <f>'3 Cascade Int'!H61</f>
        <v>0</v>
      </c>
      <c r="I122" s="28">
        <f>'3 Cascade Int'!I61</f>
        <v>0</v>
      </c>
      <c r="J122" s="41">
        <f>'3 Cascade Int'!J61</f>
        <v>0</v>
      </c>
      <c r="K122" s="28">
        <f>'3 Cascade Int'!K61</f>
        <v>0</v>
      </c>
      <c r="L122" s="28">
        <f>'3 Cascade Int'!L61</f>
        <v>0</v>
      </c>
      <c r="M122" s="28">
        <f>'3 Cascade Int'!M61</f>
        <v>0</v>
      </c>
      <c r="N122" s="28">
        <f>'3 Cascade Int'!N61</f>
        <v>0</v>
      </c>
      <c r="O122" s="28">
        <f>'3 Cascade Int'!O61</f>
        <v>0</v>
      </c>
      <c r="P122" s="28">
        <f>'3 Cascade Int'!P61</f>
        <v>0</v>
      </c>
      <c r="Q122" s="28">
        <f>'3 Cascade Int'!Q61</f>
        <v>0</v>
      </c>
      <c r="R122" s="29">
        <f t="shared" si="9"/>
        <v>0</v>
      </c>
    </row>
    <row r="123" spans="1:18" x14ac:dyDescent="0.25">
      <c r="C123" t="s">
        <v>39</v>
      </c>
      <c r="D123" s="16">
        <f>'3 Cascade Int'!D62</f>
        <v>0</v>
      </c>
      <c r="E123" s="110">
        <f>'3 Cascade Int'!E62</f>
        <v>0</v>
      </c>
      <c r="F123" s="100">
        <f>'3 Cascade Int'!F62</f>
        <v>0</v>
      </c>
      <c r="G123" s="28">
        <f>'3 Cascade Int'!G62</f>
        <v>0</v>
      </c>
      <c r="H123" s="28">
        <f>'3 Cascade Int'!H62</f>
        <v>0</v>
      </c>
      <c r="I123" s="28">
        <f>'3 Cascade Int'!I62</f>
        <v>0</v>
      </c>
      <c r="J123" s="41">
        <f>'3 Cascade Int'!J62</f>
        <v>0</v>
      </c>
      <c r="K123" s="28">
        <f>'3 Cascade Int'!K62</f>
        <v>0</v>
      </c>
      <c r="L123" s="28">
        <f>'3 Cascade Int'!L62</f>
        <v>0</v>
      </c>
      <c r="M123" s="28">
        <f>'3 Cascade Int'!M62</f>
        <v>0</v>
      </c>
      <c r="N123" s="28">
        <f>'3 Cascade Int'!N62</f>
        <v>0</v>
      </c>
      <c r="O123" s="28">
        <f>'3 Cascade Int'!O62</f>
        <v>0</v>
      </c>
      <c r="P123" s="28">
        <f>'3 Cascade Int'!P62</f>
        <v>0</v>
      </c>
      <c r="Q123" s="28">
        <f>'3 Cascade Int'!Q62</f>
        <v>0</v>
      </c>
      <c r="R123" s="29">
        <f t="shared" si="9"/>
        <v>0</v>
      </c>
    </row>
    <row r="124" spans="1:18" x14ac:dyDescent="0.25">
      <c r="D124" s="16"/>
      <c r="E124" s="110"/>
      <c r="F124" s="100"/>
      <c r="G124" s="28">
        <f>'3 Cascade Int'!G63</f>
        <v>0</v>
      </c>
      <c r="H124" s="28">
        <f>'3 Cascade Int'!H63</f>
        <v>0</v>
      </c>
      <c r="I124" s="28">
        <f>'3 Cascade Int'!I63</f>
        <v>0</v>
      </c>
      <c r="J124" s="41">
        <f>'3 Cascade Int'!J63</f>
        <v>0</v>
      </c>
      <c r="K124" s="28">
        <f>'3 Cascade Int'!K63</f>
        <v>0</v>
      </c>
      <c r="L124" s="28">
        <f>'3 Cascade Int'!L63</f>
        <v>0</v>
      </c>
      <c r="M124" s="28">
        <f>'3 Cascade Int'!M63</f>
        <v>0</v>
      </c>
      <c r="N124" s="28">
        <f>'3 Cascade Int'!N63</f>
        <v>0</v>
      </c>
      <c r="O124" s="28">
        <f>'3 Cascade Int'!O63</f>
        <v>0</v>
      </c>
      <c r="P124" s="28">
        <f>'3 Cascade Int'!P63</f>
        <v>0</v>
      </c>
      <c r="Q124" s="28">
        <f>'3 Cascade Int'!Q63</f>
        <v>0</v>
      </c>
      <c r="R124" s="29">
        <f t="shared" si="9"/>
        <v>0</v>
      </c>
    </row>
    <row r="125" spans="1:18" x14ac:dyDescent="0.25">
      <c r="D125" s="16"/>
      <c r="E125" s="110"/>
      <c r="F125" s="100"/>
      <c r="G125" s="28"/>
      <c r="H125" s="43"/>
      <c r="I125" s="43"/>
      <c r="J125" s="104"/>
      <c r="R125" s="29">
        <f t="shared" si="9"/>
        <v>0</v>
      </c>
    </row>
    <row r="126" spans="1:18" x14ac:dyDescent="0.25">
      <c r="A126" s="2" t="s">
        <v>295</v>
      </c>
      <c r="B126" s="2"/>
      <c r="C126" s="2"/>
      <c r="D126" s="40">
        <f>'4 Sunset Highway'!D43</f>
        <v>55857089</v>
      </c>
      <c r="E126" s="121">
        <f>'4 Sunset Highway'!E43</f>
        <v>66122010</v>
      </c>
      <c r="F126" s="124">
        <f>'4 Sunset Highway'!F43</f>
        <v>7619794</v>
      </c>
      <c r="G126" s="88">
        <f>'4 Sunset Highway'!G43</f>
        <v>3243</v>
      </c>
      <c r="H126" s="88">
        <f>'4 Sunset Highway'!H43</f>
        <v>308122</v>
      </c>
      <c r="I126" s="88">
        <f>'4 Sunset Highway'!I43</f>
        <v>2333762</v>
      </c>
      <c r="J126" s="122">
        <f>'4 Sunset Highway'!J43</f>
        <v>6083766</v>
      </c>
      <c r="K126" s="88">
        <f>'4 Sunset Highway'!K43</f>
        <v>9333764</v>
      </c>
      <c r="L126" s="88">
        <f>'4 Sunset Highway'!L43</f>
        <v>6333764</v>
      </c>
      <c r="M126" s="59">
        <f>'4 Sunset Highway'!M43</f>
        <v>7705795</v>
      </c>
      <c r="N126" s="59">
        <f>'4 Sunset Highway'!N43</f>
        <v>11400000</v>
      </c>
      <c r="O126" s="59">
        <f>'4 Sunset Highway'!O43</f>
        <v>10000000</v>
      </c>
      <c r="P126" s="59">
        <f>'4 Sunset Highway'!P43</f>
        <v>5000000</v>
      </c>
      <c r="Q126" s="60">
        <f>'4 Sunset Highway'!Q43</f>
        <v>0</v>
      </c>
      <c r="R126" s="58">
        <f t="shared" si="9"/>
        <v>58502216</v>
      </c>
    </row>
    <row r="127" spans="1:18" x14ac:dyDescent="0.25">
      <c r="C127" t="s">
        <v>20</v>
      </c>
      <c r="D127" s="16">
        <f>'4 Sunset Highway'!D45</f>
        <v>6357087</v>
      </c>
      <c r="E127" s="110">
        <f>'4 Sunset Highway'!E45</f>
        <v>8722010</v>
      </c>
      <c r="F127" s="100">
        <f>'4 Sunset Highway'!F45</f>
        <v>219794</v>
      </c>
      <c r="G127" s="28">
        <f>'4 Sunset Highway'!G45</f>
        <v>3243</v>
      </c>
      <c r="H127" s="28">
        <f>'4 Sunset Highway'!H45</f>
        <v>308122</v>
      </c>
      <c r="I127" s="28">
        <f>'4 Sunset Highway'!I45</f>
        <v>1833764</v>
      </c>
      <c r="J127" s="41">
        <f>'4 Sunset Highway'!J45</f>
        <v>1833764</v>
      </c>
      <c r="K127" s="28">
        <f>'4 Sunset Highway'!K45</f>
        <v>1833764</v>
      </c>
      <c r="L127" s="28">
        <f>'4 Sunset Highway'!L45</f>
        <v>1833764</v>
      </c>
      <c r="M127" s="28">
        <f>'4 Sunset Highway'!M45</f>
        <v>855795</v>
      </c>
      <c r="N127" s="28">
        <f>'4 Sunset Highway'!N45</f>
        <v>0</v>
      </c>
      <c r="O127" s="28">
        <f>'4 Sunset Highway'!O45</f>
        <v>0</v>
      </c>
      <c r="P127" s="28">
        <f>'4 Sunset Highway'!P45</f>
        <v>0</v>
      </c>
      <c r="Q127" s="28">
        <f>'4 Sunset Highway'!Q45</f>
        <v>0</v>
      </c>
      <c r="R127" s="29">
        <f t="shared" si="9"/>
        <v>8502216</v>
      </c>
    </row>
    <row r="128" spans="1:18" x14ac:dyDescent="0.25">
      <c r="C128" t="s">
        <v>21</v>
      </c>
      <c r="D128" s="16">
        <f>'4 Sunset Highway'!D46</f>
        <v>0</v>
      </c>
      <c r="E128" s="110">
        <f>'4 Sunset Highway'!E46</f>
        <v>6000000</v>
      </c>
      <c r="F128" s="100">
        <f>'4 Sunset Highway'!F46</f>
        <v>6000000</v>
      </c>
      <c r="G128" s="28">
        <f>'4 Sunset Highway'!G46</f>
        <v>0</v>
      </c>
      <c r="H128" s="28">
        <f>'4 Sunset Highway'!H46</f>
        <v>0</v>
      </c>
      <c r="I128" s="28">
        <f>'4 Sunset Highway'!I46</f>
        <v>0</v>
      </c>
      <c r="J128" s="41">
        <f>'4 Sunset Highway'!J46</f>
        <v>0</v>
      </c>
      <c r="K128" s="28">
        <f>'4 Sunset Highway'!K46</f>
        <v>0</v>
      </c>
      <c r="L128" s="28">
        <f>'4 Sunset Highway'!L46</f>
        <v>0</v>
      </c>
      <c r="M128" s="28">
        <f>'4 Sunset Highway'!M46</f>
        <v>0</v>
      </c>
      <c r="N128" s="28">
        <f>'4 Sunset Highway'!N46</f>
        <v>0</v>
      </c>
      <c r="O128" s="28">
        <f>'4 Sunset Highway'!O46</f>
        <v>0</v>
      </c>
      <c r="P128" s="28">
        <f>'4 Sunset Highway'!P46</f>
        <v>0</v>
      </c>
      <c r="Q128" s="28">
        <f>'4 Sunset Highway'!Q46</f>
        <v>0</v>
      </c>
      <c r="R128" s="29">
        <f t="shared" si="9"/>
        <v>0</v>
      </c>
    </row>
    <row r="129" spans="1:18" x14ac:dyDescent="0.25">
      <c r="C129" t="s">
        <v>22</v>
      </c>
      <c r="D129" s="16">
        <f>'4 Sunset Highway'!D47</f>
        <v>18500002</v>
      </c>
      <c r="E129" s="110">
        <f>'4 Sunset Highway'!E47</f>
        <v>19000000</v>
      </c>
      <c r="F129" s="100">
        <f>'4 Sunset Highway'!F47</f>
        <v>0</v>
      </c>
      <c r="G129" s="28">
        <f>'4 Sunset Highway'!G47</f>
        <v>0</v>
      </c>
      <c r="H129" s="28">
        <f>'4 Sunset Highway'!H47</f>
        <v>0</v>
      </c>
      <c r="I129" s="28">
        <f>'4 Sunset Highway'!I47</f>
        <v>499998</v>
      </c>
      <c r="J129" s="41">
        <f>'4 Sunset Highway'!J47</f>
        <v>4250002</v>
      </c>
      <c r="K129" s="28">
        <f>'4 Sunset Highway'!K47</f>
        <v>7500000</v>
      </c>
      <c r="L129" s="28">
        <f>'4 Sunset Highway'!L47</f>
        <v>4500000</v>
      </c>
      <c r="M129" s="28">
        <f>'4 Sunset Highway'!M47</f>
        <v>1500000</v>
      </c>
      <c r="N129" s="28">
        <f>'4 Sunset Highway'!N47</f>
        <v>750000</v>
      </c>
      <c r="O129" s="28">
        <f>'4 Sunset Highway'!O47</f>
        <v>0</v>
      </c>
      <c r="P129" s="28">
        <f>'4 Sunset Highway'!P47</f>
        <v>0</v>
      </c>
      <c r="Q129" s="28">
        <f>'4 Sunset Highway'!Q47</f>
        <v>0</v>
      </c>
      <c r="R129" s="29">
        <f t="shared" si="9"/>
        <v>19000000</v>
      </c>
    </row>
    <row r="130" spans="1:18" x14ac:dyDescent="0.25">
      <c r="C130" t="s">
        <v>37</v>
      </c>
      <c r="D130" s="16">
        <f>'4 Sunset Highway'!D48</f>
        <v>4650000</v>
      </c>
      <c r="E130" s="110">
        <f>'4 Sunset Highway'!E48</f>
        <v>4650000</v>
      </c>
      <c r="F130" s="100">
        <f>'4 Sunset Highway'!F48</f>
        <v>0</v>
      </c>
      <c r="G130" s="28">
        <f>'4 Sunset Highway'!G48</f>
        <v>0</v>
      </c>
      <c r="H130" s="28">
        <f>'4 Sunset Highway'!H48</f>
        <v>0</v>
      </c>
      <c r="I130" s="28">
        <f>'4 Sunset Highway'!I48</f>
        <v>0</v>
      </c>
      <c r="J130" s="41">
        <f>'4 Sunset Highway'!J48</f>
        <v>0</v>
      </c>
      <c r="K130" s="28">
        <f>'4 Sunset Highway'!K48</f>
        <v>0</v>
      </c>
      <c r="L130" s="28">
        <f>'4 Sunset Highway'!L48</f>
        <v>0</v>
      </c>
      <c r="M130" s="28">
        <f>'4 Sunset Highway'!M48</f>
        <v>802500</v>
      </c>
      <c r="N130" s="28">
        <f>'4 Sunset Highway'!N48</f>
        <v>1597500</v>
      </c>
      <c r="O130" s="28">
        <f>'4 Sunset Highway'!O48</f>
        <v>1500000</v>
      </c>
      <c r="P130" s="28">
        <f>'4 Sunset Highway'!P48</f>
        <v>750000</v>
      </c>
      <c r="Q130" s="28">
        <f>'4 Sunset Highway'!Q48</f>
        <v>0</v>
      </c>
      <c r="R130" s="29">
        <f t="shared" si="9"/>
        <v>4650000</v>
      </c>
    </row>
    <row r="131" spans="1:18" x14ac:dyDescent="0.25">
      <c r="C131" t="s">
        <v>23</v>
      </c>
      <c r="D131" s="16">
        <f>'4 Sunset Highway'!D49</f>
        <v>23250000</v>
      </c>
      <c r="E131" s="110">
        <f>'4 Sunset Highway'!E49</f>
        <v>24650000</v>
      </c>
      <c r="F131" s="100">
        <f>'4 Sunset Highway'!F49</f>
        <v>1400000</v>
      </c>
      <c r="G131" s="28">
        <f>'4 Sunset Highway'!G49</f>
        <v>0</v>
      </c>
      <c r="H131" s="28">
        <f>'4 Sunset Highway'!H49</f>
        <v>0</v>
      </c>
      <c r="I131" s="28">
        <f>'4 Sunset Highway'!I49</f>
        <v>0</v>
      </c>
      <c r="J131" s="41">
        <f>'4 Sunset Highway'!J49</f>
        <v>0</v>
      </c>
      <c r="K131" s="28">
        <f>'4 Sunset Highway'!K49</f>
        <v>0</v>
      </c>
      <c r="L131" s="28">
        <f>'4 Sunset Highway'!L49</f>
        <v>0</v>
      </c>
      <c r="M131" s="28">
        <f>'4 Sunset Highway'!M49</f>
        <v>4012500</v>
      </c>
      <c r="N131" s="28">
        <f>'4 Sunset Highway'!N49</f>
        <v>7987500</v>
      </c>
      <c r="O131" s="28">
        <f>'4 Sunset Highway'!O49</f>
        <v>7500000</v>
      </c>
      <c r="P131" s="28">
        <f>'4 Sunset Highway'!P49</f>
        <v>3750000</v>
      </c>
      <c r="Q131" s="28">
        <f>'4 Sunset Highway'!Q49</f>
        <v>0</v>
      </c>
      <c r="R131" s="29">
        <f t="shared" si="9"/>
        <v>23250000</v>
      </c>
    </row>
    <row r="132" spans="1:18" x14ac:dyDescent="0.25">
      <c r="C132" t="s">
        <v>39</v>
      </c>
      <c r="D132" s="16">
        <f>'4 Sunset Highway'!D50</f>
        <v>3100000</v>
      </c>
      <c r="E132" s="110">
        <f>'4 Sunset Highway'!E50</f>
        <v>3100000</v>
      </c>
      <c r="F132" s="100">
        <f>'4 Sunset Highway'!F50</f>
        <v>0</v>
      </c>
      <c r="G132" s="28">
        <f>'4 Sunset Highway'!G50</f>
        <v>0</v>
      </c>
      <c r="H132" s="28">
        <f>'4 Sunset Highway'!H50</f>
        <v>0</v>
      </c>
      <c r="I132" s="28">
        <f>'4 Sunset Highway'!I50</f>
        <v>0</v>
      </c>
      <c r="J132" s="41">
        <f>'4 Sunset Highway'!J50</f>
        <v>0</v>
      </c>
      <c r="K132" s="28">
        <f>'4 Sunset Highway'!K50</f>
        <v>0</v>
      </c>
      <c r="L132" s="28">
        <f>'4 Sunset Highway'!L50</f>
        <v>0</v>
      </c>
      <c r="M132" s="28">
        <f>'4 Sunset Highway'!M50</f>
        <v>535000</v>
      </c>
      <c r="N132" s="28">
        <f>'4 Sunset Highway'!N50</f>
        <v>1065000</v>
      </c>
      <c r="O132" s="28">
        <f>'4 Sunset Highway'!O50</f>
        <v>1000000</v>
      </c>
      <c r="P132" s="28">
        <f>'4 Sunset Highway'!P50</f>
        <v>500000</v>
      </c>
      <c r="Q132" s="28">
        <f>'4 Sunset Highway'!Q50</f>
        <v>0</v>
      </c>
      <c r="R132" s="29">
        <f t="shared" si="9"/>
        <v>3100000</v>
      </c>
    </row>
    <row r="133" spans="1:18" x14ac:dyDescent="0.25">
      <c r="D133" s="17"/>
      <c r="E133" s="17"/>
      <c r="F133" s="78"/>
      <c r="G133" s="43"/>
      <c r="H133" s="43"/>
      <c r="I133" s="43"/>
      <c r="J133" s="104"/>
      <c r="R133" s="29">
        <f>SUM(G133:Q133)</f>
        <v>0</v>
      </c>
    </row>
    <row r="134" spans="1:18" ht="15.75" thickBot="1" x14ac:dyDescent="0.3">
      <c r="A134" s="15" t="s">
        <v>31</v>
      </c>
      <c r="B134" s="15"/>
      <c r="C134" s="15"/>
      <c r="D134" s="19">
        <f>D126+D106+D78+D48</f>
        <v>262836098</v>
      </c>
      <c r="E134" s="19">
        <f>E126+E106+E78+E48</f>
        <v>286265072.85000002</v>
      </c>
      <c r="F134" s="33">
        <f>F126+F106+F78+F48</f>
        <v>8924081.1400000006</v>
      </c>
      <c r="G134" s="19">
        <f t="shared" ref="G134:Q134" si="10">G126+G106+G78+G48</f>
        <v>1820564</v>
      </c>
      <c r="H134" s="19">
        <f t="shared" si="10"/>
        <v>2599662.0699999998</v>
      </c>
      <c r="I134" s="19">
        <f t="shared" si="10"/>
        <v>5319940.6400000006</v>
      </c>
      <c r="J134" s="106">
        <f t="shared" si="10"/>
        <v>10848493</v>
      </c>
      <c r="K134" s="19">
        <f t="shared" si="10"/>
        <v>17249482</v>
      </c>
      <c r="L134" s="19">
        <f t="shared" si="10"/>
        <v>39813330</v>
      </c>
      <c r="M134" s="19">
        <f t="shared" si="10"/>
        <v>57676934</v>
      </c>
      <c r="N134" s="19">
        <f t="shared" si="10"/>
        <v>86027321</v>
      </c>
      <c r="O134" s="19">
        <f t="shared" si="10"/>
        <v>46039591</v>
      </c>
      <c r="P134" s="19">
        <f t="shared" si="10"/>
        <v>9945674</v>
      </c>
      <c r="Q134" s="19">
        <f t="shared" si="10"/>
        <v>0</v>
      </c>
      <c r="R134" s="30">
        <f>SUM(G134:Q134)</f>
        <v>277340991.71000004</v>
      </c>
    </row>
    <row r="135" spans="1:18" ht="15.75" thickTop="1" x14ac:dyDescent="0.25">
      <c r="A135" t="s">
        <v>32</v>
      </c>
      <c r="D135" s="17">
        <f t="shared" ref="D135:Q135" si="11">D43-D134</f>
        <v>0</v>
      </c>
      <c r="E135" s="17"/>
      <c r="F135" s="78">
        <f t="shared" si="11"/>
        <v>0</v>
      </c>
      <c r="G135" s="17">
        <f t="shared" si="11"/>
        <v>0</v>
      </c>
      <c r="H135" s="79">
        <f t="shared" si="11"/>
        <v>0</v>
      </c>
      <c r="I135" s="79">
        <f t="shared" si="11"/>
        <v>0</v>
      </c>
      <c r="J135" s="80">
        <f t="shared" si="11"/>
        <v>0</v>
      </c>
      <c r="K135" s="17">
        <f t="shared" si="11"/>
        <v>0</v>
      </c>
      <c r="L135" s="17">
        <f t="shared" si="11"/>
        <v>0</v>
      </c>
      <c r="M135" s="17">
        <f t="shared" si="11"/>
        <v>0</v>
      </c>
      <c r="N135" s="17">
        <f t="shared" si="11"/>
        <v>0</v>
      </c>
      <c r="O135" s="17">
        <f t="shared" si="11"/>
        <v>0</v>
      </c>
      <c r="P135" s="17">
        <f t="shared" si="11"/>
        <v>0</v>
      </c>
      <c r="Q135" s="17">
        <f t="shared" si="11"/>
        <v>0</v>
      </c>
      <c r="R135" s="29">
        <f>SUM(G135:Q135)</f>
        <v>0</v>
      </c>
    </row>
    <row r="136" spans="1:18" x14ac:dyDescent="0.25">
      <c r="D136" s="17"/>
      <c r="E136" s="17"/>
      <c r="F136" s="32"/>
      <c r="I136" s="43"/>
    </row>
    <row r="137" spans="1:18" x14ac:dyDescent="0.25">
      <c r="D137" s="17"/>
      <c r="E137" s="17"/>
      <c r="F137" s="32"/>
      <c r="I137" s="43"/>
    </row>
    <row r="138" spans="1:18" x14ac:dyDescent="0.25">
      <c r="D138" s="18"/>
      <c r="E138" s="18"/>
      <c r="F138" s="32"/>
      <c r="I138" s="43"/>
    </row>
    <row r="139" spans="1:18" x14ac:dyDescent="0.25">
      <c r="A139" t="s">
        <v>43</v>
      </c>
      <c r="D139" s="13"/>
      <c r="E139" s="13"/>
      <c r="I139" s="43"/>
    </row>
    <row r="140" spans="1:18" x14ac:dyDescent="0.25">
      <c r="D140" s="13"/>
      <c r="E140" s="13"/>
      <c r="I140" s="43"/>
    </row>
    <row r="141" spans="1:18" x14ac:dyDescent="0.25">
      <c r="C141" t="s">
        <v>44</v>
      </c>
      <c r="D141" s="62">
        <f>E134</f>
        <v>286265072.85000002</v>
      </c>
      <c r="E141" s="14"/>
    </row>
    <row r="142" spans="1:18" x14ac:dyDescent="0.25">
      <c r="C142" t="s">
        <v>108</v>
      </c>
      <c r="D142" s="34">
        <f>D134</f>
        <v>262836098</v>
      </c>
      <c r="E142" s="36">
        <f>D141-D142</f>
        <v>23428974.850000024</v>
      </c>
    </row>
    <row r="143" spans="1:18" x14ac:dyDescent="0.25">
      <c r="C143" t="s">
        <v>88</v>
      </c>
      <c r="D143" s="36">
        <f>D38</f>
        <v>140414116</v>
      </c>
      <c r="E143" s="14"/>
    </row>
    <row r="144" spans="1:18" x14ac:dyDescent="0.25">
      <c r="D144" s="36"/>
      <c r="E144" s="14"/>
    </row>
    <row r="145" spans="3:5" x14ac:dyDescent="0.25">
      <c r="C145" t="s">
        <v>110</v>
      </c>
      <c r="D145" s="34">
        <f>D35+D24</f>
        <v>122421982</v>
      </c>
      <c r="E145" s="14"/>
    </row>
    <row r="146" spans="3:5" x14ac:dyDescent="0.25">
      <c r="C146" t="s">
        <v>109</v>
      </c>
      <c r="D146" s="34">
        <f>D37</f>
        <v>0</v>
      </c>
      <c r="E146" s="14"/>
    </row>
    <row r="147" spans="3:5" x14ac:dyDescent="0.25">
      <c r="C147" t="s">
        <v>111</v>
      </c>
      <c r="D147" s="36">
        <f>D145+D146</f>
        <v>122421982</v>
      </c>
      <c r="E147" s="14"/>
    </row>
    <row r="148" spans="3:5" x14ac:dyDescent="0.25">
      <c r="D148" s="36"/>
      <c r="E148" s="14"/>
    </row>
    <row r="149" spans="3:5" x14ac:dyDescent="0.25">
      <c r="C149" t="s">
        <v>94</v>
      </c>
      <c r="D149" s="125">
        <f>D147/D142</f>
        <v>0.46577309179198056</v>
      </c>
    </row>
    <row r="153" spans="3:5" x14ac:dyDescent="0.25">
      <c r="C153" t="s">
        <v>182</v>
      </c>
      <c r="D153" s="62">
        <f>+D53+D62+D71+D83+D92+D101+D111+D120+D129</f>
        <v>39465094</v>
      </c>
    </row>
  </sheetData>
  <pageMargins left="0.7" right="0.7" top="0.75" bottom="0.75" header="0.3" footer="0.3"/>
  <pageSetup paperSize="17" scale="46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R66"/>
  <sheetViews>
    <sheetView zoomScaleNormal="100" workbookViewId="0"/>
  </sheetViews>
  <sheetFormatPr defaultRowHeight="15" x14ac:dyDescent="0.25"/>
  <cols>
    <col min="1" max="1" width="5.42578125" customWidth="1"/>
    <col min="2" max="2" width="5" customWidth="1"/>
    <col min="3" max="3" width="45.140625" customWidth="1"/>
    <col min="4" max="5" width="13.28515625" customWidth="1"/>
    <col min="6" max="6" width="13.42578125" customWidth="1"/>
    <col min="7" max="7" width="10.85546875" customWidth="1"/>
    <col min="8" max="8" width="15.7109375" customWidth="1"/>
    <col min="9" max="9" width="12.28515625" bestFit="1" customWidth="1"/>
    <col min="10" max="10" width="12.140625" customWidth="1"/>
    <col min="11" max="11" width="12.28515625" customWidth="1"/>
    <col min="12" max="13" width="12" bestFit="1" customWidth="1"/>
    <col min="14" max="14" width="15.28515625" customWidth="1"/>
    <col min="15" max="16" width="13.42578125" customWidth="1"/>
    <col min="18" max="18" width="14.28515625" customWidth="1"/>
  </cols>
  <sheetData>
    <row r="1" spans="1:18" ht="18.75" x14ac:dyDescent="0.3">
      <c r="A1" s="75" t="s">
        <v>63</v>
      </c>
    </row>
    <row r="3" spans="1:18" x14ac:dyDescent="0.25">
      <c r="C3" t="s">
        <v>51</v>
      </c>
    </row>
    <row r="4" spans="1:18" x14ac:dyDescent="0.25">
      <c r="C4" t="s">
        <v>60</v>
      </c>
      <c r="D4" s="107"/>
      <c r="E4" s="107"/>
    </row>
    <row r="5" spans="1:18" x14ac:dyDescent="0.25">
      <c r="C5" t="s">
        <v>78</v>
      </c>
      <c r="D5" s="7"/>
      <c r="E5" s="7"/>
      <c r="F5" s="11"/>
    </row>
    <row r="6" spans="1:18" x14ac:dyDescent="0.25">
      <c r="C6" t="s">
        <v>0</v>
      </c>
      <c r="D6" s="21"/>
      <c r="E6" s="21"/>
    </row>
    <row r="7" spans="1:18" x14ac:dyDescent="0.25">
      <c r="C7" t="s">
        <v>59</v>
      </c>
      <c r="D7" s="86"/>
      <c r="E7" s="86"/>
    </row>
    <row r="8" spans="1:18" x14ac:dyDescent="0.25">
      <c r="C8" t="s">
        <v>23</v>
      </c>
      <c r="D8" s="61"/>
      <c r="E8" s="61"/>
      <c r="I8" s="118"/>
      <c r="J8" s="119" t="s">
        <v>100</v>
      </c>
      <c r="K8" s="117" t="s">
        <v>99</v>
      </c>
    </row>
    <row r="9" spans="1:18" ht="18.75" x14ac:dyDescent="0.3">
      <c r="A9" s="31" t="s">
        <v>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</row>
    <row r="10" spans="1:18" ht="45" x14ac:dyDescent="0.25">
      <c r="A10" s="4"/>
      <c r="B10" s="4"/>
      <c r="C10" s="4" t="s">
        <v>3</v>
      </c>
      <c r="D10" s="20" t="s">
        <v>80</v>
      </c>
      <c r="E10" s="20" t="s">
        <v>79</v>
      </c>
      <c r="F10" s="22">
        <v>2017</v>
      </c>
      <c r="G10" s="4">
        <v>2018</v>
      </c>
      <c r="H10" s="4">
        <v>2019</v>
      </c>
      <c r="I10" s="4">
        <v>2020</v>
      </c>
      <c r="J10" s="101">
        <v>2021</v>
      </c>
      <c r="K10" s="4">
        <v>2022</v>
      </c>
      <c r="L10" s="4">
        <v>2023</v>
      </c>
      <c r="M10" s="4">
        <v>2024</v>
      </c>
      <c r="N10" s="4">
        <v>2025</v>
      </c>
      <c r="O10" s="4">
        <v>2026</v>
      </c>
      <c r="P10" s="4">
        <v>2027</v>
      </c>
      <c r="Q10" s="4">
        <v>2028</v>
      </c>
      <c r="R10" s="22" t="s">
        <v>225</v>
      </c>
    </row>
    <row r="11" spans="1:18" x14ac:dyDescent="0.25">
      <c r="A11" s="3" t="s">
        <v>5</v>
      </c>
      <c r="B11" s="3"/>
      <c r="C11" s="3"/>
      <c r="D11" s="5"/>
      <c r="E11" s="108"/>
      <c r="F11" s="111"/>
      <c r="G11" s="112"/>
      <c r="H11" s="112"/>
      <c r="I11" s="93"/>
      <c r="J11" s="102"/>
      <c r="K11" s="6"/>
      <c r="L11" s="6"/>
      <c r="M11" s="6"/>
      <c r="N11" s="6"/>
      <c r="O11" s="6"/>
      <c r="P11" s="6"/>
      <c r="Q11" s="6"/>
      <c r="R11" s="29">
        <f>SUM(G11:Q11)</f>
        <v>0</v>
      </c>
    </row>
    <row r="12" spans="1:18" x14ac:dyDescent="0.25">
      <c r="A12" s="3"/>
      <c r="B12" s="3"/>
      <c r="C12" s="3" t="s">
        <v>6</v>
      </c>
      <c r="D12" s="7"/>
      <c r="E12" s="107">
        <f>SUM(F12:Q12)</f>
        <v>0</v>
      </c>
      <c r="F12" s="96"/>
      <c r="G12" s="28"/>
      <c r="H12" s="28"/>
      <c r="I12" s="28"/>
      <c r="J12" s="41"/>
      <c r="K12" s="8"/>
      <c r="L12" s="8"/>
      <c r="M12" s="8"/>
      <c r="N12" s="8"/>
      <c r="O12" s="8"/>
      <c r="P12" s="8"/>
      <c r="Q12" s="8"/>
      <c r="R12" s="29">
        <f t="shared" ref="R12:R38" si="0">SUM(G12:Q12)</f>
        <v>0</v>
      </c>
    </row>
    <row r="13" spans="1:18" x14ac:dyDescent="0.25">
      <c r="A13" s="3"/>
      <c r="B13" s="3"/>
      <c r="C13" s="3" t="s">
        <v>7</v>
      </c>
      <c r="D13" s="7"/>
      <c r="E13" s="107">
        <f t="shared" ref="E13:E18" si="1">SUM(F13:Q13)</f>
        <v>0</v>
      </c>
      <c r="F13" s="96"/>
      <c r="G13" s="28"/>
      <c r="H13" s="28"/>
      <c r="I13" s="28"/>
      <c r="J13" s="41"/>
      <c r="K13" s="8"/>
      <c r="L13" s="8"/>
      <c r="M13" s="8"/>
      <c r="N13" s="8"/>
      <c r="O13" s="8"/>
      <c r="P13" s="8"/>
      <c r="Q13" s="8"/>
      <c r="R13" s="29">
        <f t="shared" si="0"/>
        <v>0</v>
      </c>
    </row>
    <row r="14" spans="1:18" x14ac:dyDescent="0.25">
      <c r="A14" s="3"/>
      <c r="B14" s="3"/>
      <c r="C14" s="3" t="s">
        <v>16</v>
      </c>
      <c r="D14" s="7"/>
      <c r="E14" s="107">
        <f t="shared" si="1"/>
        <v>0</v>
      </c>
      <c r="F14" s="96"/>
      <c r="G14" s="28"/>
      <c r="H14" s="28"/>
      <c r="I14" s="28"/>
      <c r="J14" s="41"/>
      <c r="K14" s="8"/>
      <c r="L14" s="8"/>
      <c r="M14" s="8"/>
      <c r="N14" s="8"/>
      <c r="O14" s="8"/>
      <c r="P14" s="8"/>
      <c r="Q14" s="8"/>
      <c r="R14" s="29">
        <f t="shared" si="0"/>
        <v>0</v>
      </c>
    </row>
    <row r="15" spans="1:18" x14ac:dyDescent="0.25">
      <c r="A15" s="3"/>
      <c r="B15" s="3"/>
      <c r="C15" s="3" t="s">
        <v>8</v>
      </c>
      <c r="D15" s="7"/>
      <c r="E15" s="107">
        <f t="shared" si="1"/>
        <v>0</v>
      </c>
      <c r="F15" s="96"/>
      <c r="G15" s="28"/>
      <c r="H15" s="28"/>
      <c r="I15" s="28"/>
      <c r="J15" s="41"/>
      <c r="K15" s="8"/>
      <c r="L15" s="8"/>
      <c r="M15" s="8"/>
      <c r="N15" s="8"/>
      <c r="O15" s="8"/>
      <c r="P15" s="8"/>
      <c r="Q15" s="8"/>
      <c r="R15" s="29">
        <f t="shared" si="0"/>
        <v>0</v>
      </c>
    </row>
    <row r="16" spans="1:18" x14ac:dyDescent="0.25">
      <c r="A16" s="3"/>
      <c r="B16" s="3"/>
      <c r="C16" s="3" t="s">
        <v>12</v>
      </c>
      <c r="D16" s="7"/>
      <c r="E16" s="107">
        <f t="shared" si="1"/>
        <v>0</v>
      </c>
      <c r="F16" s="96"/>
      <c r="G16" s="28"/>
      <c r="H16" s="28"/>
      <c r="I16" s="28"/>
      <c r="J16" s="41"/>
      <c r="K16" s="8"/>
      <c r="L16" s="8"/>
      <c r="M16" s="8"/>
      <c r="N16" s="8"/>
      <c r="O16" s="8"/>
      <c r="P16" s="8"/>
      <c r="Q16" s="8"/>
      <c r="R16" s="29">
        <f t="shared" si="0"/>
        <v>0</v>
      </c>
    </row>
    <row r="17" spans="1:18" x14ac:dyDescent="0.25">
      <c r="A17" s="3"/>
      <c r="B17" s="3"/>
      <c r="C17" s="3" t="s">
        <v>41</v>
      </c>
      <c r="D17" s="7"/>
      <c r="E17" s="107">
        <f t="shared" si="1"/>
        <v>0</v>
      </c>
      <c r="F17" s="96"/>
      <c r="G17" s="28"/>
      <c r="H17" s="28"/>
      <c r="I17" s="28"/>
      <c r="J17" s="41"/>
      <c r="K17" s="8"/>
      <c r="L17" s="8"/>
      <c r="M17" s="8"/>
      <c r="N17" s="8"/>
      <c r="O17" s="8"/>
      <c r="P17" s="8"/>
      <c r="Q17" s="8"/>
      <c r="R17" s="29"/>
    </row>
    <row r="18" spans="1:18" x14ac:dyDescent="0.25">
      <c r="A18" s="3"/>
      <c r="B18" s="3"/>
      <c r="C18" s="3"/>
      <c r="D18" s="9"/>
      <c r="E18" s="115">
        <f t="shared" si="1"/>
        <v>0</v>
      </c>
      <c r="F18" s="97"/>
      <c r="G18" s="63"/>
      <c r="H18" s="63"/>
      <c r="I18" s="63"/>
      <c r="J18" s="64"/>
      <c r="K18" s="63"/>
      <c r="L18" s="63"/>
      <c r="M18" s="63"/>
      <c r="N18" s="63"/>
      <c r="O18" s="63"/>
      <c r="P18" s="63"/>
      <c r="Q18" s="64"/>
      <c r="R18" s="29">
        <f t="shared" si="0"/>
        <v>0</v>
      </c>
    </row>
    <row r="19" spans="1:18" x14ac:dyDescent="0.25">
      <c r="A19" s="3"/>
      <c r="B19" s="3" t="s">
        <v>19</v>
      </c>
      <c r="C19" s="3"/>
      <c r="D19" s="7">
        <f>SUM(D12:D18)</f>
        <v>0</v>
      </c>
      <c r="E19" s="107">
        <f>SUM(E12:E18)</f>
        <v>0</v>
      </c>
      <c r="F19" s="96">
        <f>SUM(F12:F18)</f>
        <v>0</v>
      </c>
      <c r="G19" s="27">
        <f>SUM(G12:G18)</f>
        <v>0</v>
      </c>
      <c r="H19" s="27">
        <f t="shared" ref="H19:Q19" si="2">SUM(H12:H18)</f>
        <v>0</v>
      </c>
      <c r="I19" s="27">
        <f t="shared" si="2"/>
        <v>0</v>
      </c>
      <c r="J19" s="55">
        <f t="shared" si="2"/>
        <v>0</v>
      </c>
      <c r="K19" s="11">
        <f t="shared" si="2"/>
        <v>0</v>
      </c>
      <c r="L19" s="11">
        <f t="shared" si="2"/>
        <v>0</v>
      </c>
      <c r="M19" s="11">
        <f t="shared" si="2"/>
        <v>0</v>
      </c>
      <c r="N19" s="11">
        <f t="shared" si="2"/>
        <v>0</v>
      </c>
      <c r="O19" s="11">
        <f t="shared" si="2"/>
        <v>0</v>
      </c>
      <c r="P19" s="11">
        <f t="shared" si="2"/>
        <v>0</v>
      </c>
      <c r="Q19" s="11">
        <f t="shared" si="2"/>
        <v>0</v>
      </c>
      <c r="R19" s="29">
        <f t="shared" si="0"/>
        <v>0</v>
      </c>
    </row>
    <row r="20" spans="1:18" x14ac:dyDescent="0.25">
      <c r="A20" s="3" t="s">
        <v>4</v>
      </c>
      <c r="B20" s="3"/>
      <c r="C20" s="3"/>
      <c r="D20" s="7"/>
      <c r="E20" s="107"/>
      <c r="F20" s="96"/>
      <c r="G20" s="53"/>
      <c r="H20" s="28"/>
      <c r="I20" s="28"/>
      <c r="J20" s="41"/>
      <c r="K20" s="8"/>
      <c r="L20" s="8"/>
      <c r="M20" s="8"/>
      <c r="N20" s="8"/>
      <c r="O20" s="8"/>
      <c r="P20" s="8"/>
      <c r="Q20" s="8"/>
      <c r="R20" s="29">
        <f t="shared" si="0"/>
        <v>0</v>
      </c>
    </row>
    <row r="21" spans="1:18" x14ac:dyDescent="0.25">
      <c r="A21" s="3"/>
      <c r="B21" s="3"/>
      <c r="C21" s="3" t="s">
        <v>10</v>
      </c>
      <c r="D21" s="7"/>
      <c r="E21" s="107">
        <f t="shared" ref="E21:E28" si="3">SUM(F21:Q21)</f>
        <v>0</v>
      </c>
      <c r="F21" s="96"/>
      <c r="G21" s="53"/>
      <c r="H21" s="28"/>
      <c r="I21" s="28"/>
      <c r="J21" s="41"/>
      <c r="K21" s="8"/>
      <c r="L21" s="8"/>
      <c r="M21" s="8"/>
      <c r="N21" s="8"/>
      <c r="O21" s="8"/>
      <c r="P21" s="8"/>
      <c r="Q21" s="8"/>
      <c r="R21" s="29">
        <f t="shared" si="0"/>
        <v>0</v>
      </c>
    </row>
    <row r="22" spans="1:18" x14ac:dyDescent="0.25">
      <c r="A22" s="3"/>
      <c r="B22" s="3"/>
      <c r="C22" s="3" t="s">
        <v>9</v>
      </c>
      <c r="D22" s="7"/>
      <c r="E22" s="107">
        <f t="shared" si="3"/>
        <v>0</v>
      </c>
      <c r="F22" s="96"/>
      <c r="G22" s="53"/>
      <c r="H22" s="28"/>
      <c r="I22" s="28"/>
      <c r="J22" s="41"/>
      <c r="K22" s="8"/>
      <c r="L22" s="8"/>
      <c r="M22" s="8"/>
      <c r="N22" s="8"/>
      <c r="O22" s="8"/>
      <c r="P22" s="8"/>
      <c r="Q22" s="8"/>
      <c r="R22" s="29">
        <f t="shared" si="0"/>
        <v>0</v>
      </c>
    </row>
    <row r="23" spans="1:18" x14ac:dyDescent="0.25">
      <c r="A23" s="3"/>
      <c r="B23" s="3"/>
      <c r="C23" s="3" t="s">
        <v>101</v>
      </c>
      <c r="D23" s="7"/>
      <c r="E23" s="107">
        <f t="shared" si="3"/>
        <v>0</v>
      </c>
      <c r="F23" s="96"/>
      <c r="G23" s="53"/>
      <c r="H23" s="28"/>
      <c r="I23" s="28"/>
      <c r="J23" s="41"/>
      <c r="K23" s="8"/>
      <c r="L23" s="8"/>
      <c r="M23" s="8"/>
      <c r="N23" s="8"/>
      <c r="O23" s="8"/>
      <c r="P23" s="8"/>
      <c r="Q23" s="8"/>
      <c r="R23" s="29"/>
    </row>
    <row r="24" spans="1:18" x14ac:dyDescent="0.25">
      <c r="A24" s="3"/>
      <c r="B24" s="3"/>
      <c r="C24" s="3" t="s">
        <v>35</v>
      </c>
      <c r="D24" s="16">
        <f>E24-F24-G24-H24-I24</f>
        <v>55857089</v>
      </c>
      <c r="E24" s="107">
        <f t="shared" si="3"/>
        <v>58522010</v>
      </c>
      <c r="F24" s="100">
        <v>19794</v>
      </c>
      <c r="G24" s="53">
        <f>G43</f>
        <v>3243</v>
      </c>
      <c r="H24" s="28">
        <f t="shared" ref="H24:Q24" si="4">H43</f>
        <v>308122</v>
      </c>
      <c r="I24" s="28">
        <f t="shared" si="4"/>
        <v>2333762</v>
      </c>
      <c r="J24" s="41">
        <f t="shared" si="4"/>
        <v>6083766</v>
      </c>
      <c r="K24" s="28">
        <f t="shared" si="4"/>
        <v>9333764</v>
      </c>
      <c r="L24" s="28">
        <f t="shared" si="4"/>
        <v>6333764</v>
      </c>
      <c r="M24" s="28">
        <f t="shared" si="4"/>
        <v>7705795</v>
      </c>
      <c r="N24" s="28">
        <f t="shared" si="4"/>
        <v>11400000</v>
      </c>
      <c r="O24" s="28">
        <f t="shared" si="4"/>
        <v>10000000</v>
      </c>
      <c r="P24" s="28">
        <f t="shared" si="4"/>
        <v>5000000</v>
      </c>
      <c r="Q24" s="41">
        <f t="shared" si="4"/>
        <v>0</v>
      </c>
      <c r="R24" s="29">
        <f t="shared" si="0"/>
        <v>58502216</v>
      </c>
    </row>
    <row r="25" spans="1:18" x14ac:dyDescent="0.25">
      <c r="A25" s="3"/>
      <c r="B25" s="3"/>
      <c r="C25" s="3" t="s">
        <v>36</v>
      </c>
      <c r="D25" s="7"/>
      <c r="E25" s="107">
        <f t="shared" si="3"/>
        <v>0</v>
      </c>
      <c r="F25" s="96"/>
      <c r="G25" s="53"/>
      <c r="H25" s="28"/>
      <c r="I25" s="28"/>
      <c r="J25" s="41"/>
      <c r="K25" s="8"/>
      <c r="L25" s="8"/>
      <c r="M25" s="8"/>
      <c r="N25" s="8"/>
      <c r="O25" s="8"/>
      <c r="P25" s="8"/>
      <c r="Q25" s="8"/>
      <c r="R25" s="29"/>
    </row>
    <row r="26" spans="1:18" x14ac:dyDescent="0.25">
      <c r="A26" s="3"/>
      <c r="B26" s="3"/>
      <c r="C26" s="3" t="s">
        <v>38</v>
      </c>
      <c r="D26" s="7"/>
      <c r="E26" s="107">
        <f t="shared" si="3"/>
        <v>0</v>
      </c>
      <c r="F26" s="96"/>
      <c r="G26" s="53"/>
      <c r="H26" s="28"/>
      <c r="I26" s="28"/>
      <c r="J26" s="41"/>
      <c r="K26" s="8"/>
      <c r="L26" s="8"/>
      <c r="M26" s="8"/>
      <c r="N26" s="8"/>
      <c r="O26" s="8"/>
      <c r="P26" s="8"/>
      <c r="Q26" s="8"/>
      <c r="R26" s="29"/>
    </row>
    <row r="27" spans="1:18" x14ac:dyDescent="0.25">
      <c r="A27" s="3"/>
      <c r="B27" s="3"/>
      <c r="C27" s="3" t="s">
        <v>11</v>
      </c>
      <c r="D27" s="7"/>
      <c r="E27" s="107">
        <f t="shared" si="3"/>
        <v>0</v>
      </c>
      <c r="F27" s="96"/>
      <c r="G27" s="53"/>
      <c r="H27" s="28"/>
      <c r="I27" s="28"/>
      <c r="J27" s="41"/>
      <c r="K27" s="8"/>
      <c r="L27" s="8"/>
      <c r="M27" s="8"/>
      <c r="N27" s="8"/>
      <c r="O27" s="8"/>
      <c r="P27" s="8"/>
      <c r="Q27" s="8"/>
      <c r="R27" s="29">
        <f t="shared" si="0"/>
        <v>0</v>
      </c>
    </row>
    <row r="28" spans="1:18" x14ac:dyDescent="0.25">
      <c r="A28" s="3"/>
      <c r="B28" s="3"/>
      <c r="C28" s="3" t="s">
        <v>41</v>
      </c>
      <c r="D28" s="7"/>
      <c r="E28" s="107">
        <f t="shared" si="3"/>
        <v>7600000</v>
      </c>
      <c r="F28" s="96">
        <v>7600000</v>
      </c>
      <c r="G28" s="53"/>
      <c r="H28" s="28"/>
      <c r="I28" s="28"/>
      <c r="J28" s="41"/>
      <c r="K28" s="8"/>
      <c r="L28" s="8"/>
      <c r="M28" s="8"/>
      <c r="N28" s="8"/>
      <c r="O28" s="8"/>
      <c r="P28" s="8"/>
      <c r="Q28" s="8"/>
      <c r="R28" s="29"/>
    </row>
    <row r="29" spans="1:18" x14ac:dyDescent="0.25">
      <c r="A29" s="3"/>
      <c r="B29" s="3"/>
      <c r="C29" s="3"/>
      <c r="D29" s="9"/>
      <c r="E29" s="109"/>
      <c r="F29" s="97"/>
      <c r="G29" s="73"/>
      <c r="H29" s="63"/>
      <c r="I29" s="63"/>
      <c r="J29" s="64"/>
      <c r="K29" s="63"/>
      <c r="L29" s="63"/>
      <c r="M29" s="63"/>
      <c r="N29" s="63"/>
      <c r="O29" s="63"/>
      <c r="P29" s="63"/>
      <c r="Q29" s="64"/>
      <c r="R29" s="29">
        <f t="shared" si="0"/>
        <v>0</v>
      </c>
    </row>
    <row r="30" spans="1:18" x14ac:dyDescent="0.25">
      <c r="A30" s="3"/>
      <c r="B30" s="3" t="s">
        <v>17</v>
      </c>
      <c r="C30" s="3"/>
      <c r="D30" s="7">
        <f>SUM(D21:D29)</f>
        <v>55857089</v>
      </c>
      <c r="E30" s="107">
        <f>SUM(E21:E29)</f>
        <v>66122010</v>
      </c>
      <c r="F30" s="96">
        <f>SUM(F21:F29)</f>
        <v>7619794</v>
      </c>
      <c r="G30" s="27">
        <f>SUM(G21:G29)</f>
        <v>3243</v>
      </c>
      <c r="H30" s="27">
        <f t="shared" ref="H30:Q30" si="5">SUM(H21:H29)</f>
        <v>308122</v>
      </c>
      <c r="I30" s="27">
        <f t="shared" si="5"/>
        <v>2333762</v>
      </c>
      <c r="J30" s="55">
        <f t="shared" si="5"/>
        <v>6083766</v>
      </c>
      <c r="K30" s="11">
        <f t="shared" si="5"/>
        <v>9333764</v>
      </c>
      <c r="L30" s="11">
        <f t="shared" si="5"/>
        <v>6333764</v>
      </c>
      <c r="M30" s="11">
        <f t="shared" si="5"/>
        <v>7705795</v>
      </c>
      <c r="N30" s="11">
        <f t="shared" si="5"/>
        <v>11400000</v>
      </c>
      <c r="O30" s="11">
        <f t="shared" si="5"/>
        <v>10000000</v>
      </c>
      <c r="P30" s="11">
        <f t="shared" si="5"/>
        <v>5000000</v>
      </c>
      <c r="Q30" s="11">
        <f t="shared" si="5"/>
        <v>0</v>
      </c>
      <c r="R30" s="29">
        <f t="shared" si="0"/>
        <v>58502216</v>
      </c>
    </row>
    <row r="31" spans="1:18" x14ac:dyDescent="0.25">
      <c r="A31" s="3" t="s">
        <v>13</v>
      </c>
      <c r="B31" s="3"/>
      <c r="C31" s="3"/>
      <c r="D31" s="7"/>
      <c r="E31" s="107"/>
      <c r="F31" s="96"/>
      <c r="G31" s="53"/>
      <c r="H31" s="28"/>
      <c r="I31" s="28"/>
      <c r="J31" s="41"/>
      <c r="K31" s="8"/>
      <c r="L31" s="8"/>
      <c r="M31" s="8"/>
      <c r="N31" s="8"/>
      <c r="O31" s="8"/>
      <c r="P31" s="8"/>
      <c r="Q31" s="8"/>
      <c r="R31" s="29">
        <f t="shared" si="0"/>
        <v>0</v>
      </c>
    </row>
    <row r="32" spans="1:18" x14ac:dyDescent="0.25">
      <c r="A32" s="3"/>
      <c r="B32" s="3"/>
      <c r="C32" s="3" t="s">
        <v>14</v>
      </c>
      <c r="D32" s="7"/>
      <c r="E32" s="107">
        <f>SUM(F32:Q32)</f>
        <v>0</v>
      </c>
      <c r="F32" s="96"/>
      <c r="G32" s="53"/>
      <c r="H32" s="28"/>
      <c r="I32" s="28"/>
      <c r="J32" s="41"/>
      <c r="K32" s="8"/>
      <c r="L32" s="8"/>
      <c r="M32" s="8"/>
      <c r="N32" s="8"/>
      <c r="O32" s="8"/>
      <c r="P32" s="8"/>
      <c r="Q32" s="8"/>
      <c r="R32" s="29">
        <f t="shared" si="0"/>
        <v>0</v>
      </c>
    </row>
    <row r="33" spans="1:18" x14ac:dyDescent="0.25">
      <c r="A33" s="3"/>
      <c r="B33" s="3"/>
      <c r="C33" s="3" t="s">
        <v>15</v>
      </c>
      <c r="D33" s="7"/>
      <c r="E33" s="107">
        <f>SUM(F33:Q33)</f>
        <v>0</v>
      </c>
      <c r="F33" s="96"/>
      <c r="G33" s="53"/>
      <c r="H33" s="28"/>
      <c r="I33" s="28"/>
      <c r="J33" s="41"/>
      <c r="K33" s="8"/>
      <c r="L33" s="8"/>
      <c r="M33" s="8"/>
      <c r="N33" s="8"/>
      <c r="O33" s="8"/>
      <c r="P33" s="8"/>
      <c r="Q33" s="8"/>
      <c r="R33" s="29">
        <f t="shared" si="0"/>
        <v>0</v>
      </c>
    </row>
    <row r="34" spans="1:18" x14ac:dyDescent="0.25">
      <c r="A34" s="3"/>
      <c r="B34" s="3"/>
      <c r="C34" s="3"/>
      <c r="D34" s="7"/>
      <c r="E34" s="107"/>
      <c r="F34" s="96"/>
      <c r="G34" s="53"/>
      <c r="H34" s="28"/>
      <c r="I34" s="28"/>
      <c r="J34" s="41"/>
      <c r="K34" s="8"/>
      <c r="L34" s="8"/>
      <c r="M34" s="8"/>
      <c r="N34" s="8"/>
      <c r="O34" s="8"/>
      <c r="P34" s="8"/>
      <c r="Q34" s="8"/>
      <c r="R34" s="29">
        <f t="shared" si="0"/>
        <v>0</v>
      </c>
    </row>
    <row r="35" spans="1:18" x14ac:dyDescent="0.25">
      <c r="A35" s="3"/>
      <c r="B35" s="3"/>
      <c r="C35" s="3"/>
      <c r="D35" s="9"/>
      <c r="E35" s="109"/>
      <c r="F35" s="97"/>
      <c r="G35" s="73"/>
      <c r="H35" s="63"/>
      <c r="I35" s="63"/>
      <c r="J35" s="64"/>
      <c r="K35" s="63"/>
      <c r="L35" s="63"/>
      <c r="M35" s="63"/>
      <c r="N35" s="63"/>
      <c r="O35" s="63"/>
      <c r="P35" s="63"/>
      <c r="Q35" s="64"/>
      <c r="R35" s="29">
        <f t="shared" si="0"/>
        <v>0</v>
      </c>
    </row>
    <row r="36" spans="1:18" x14ac:dyDescent="0.25">
      <c r="A36" s="3"/>
      <c r="B36" s="3" t="s">
        <v>18</v>
      </c>
      <c r="C36" s="3"/>
      <c r="D36" s="7">
        <f>SUM(D32:D35)</f>
        <v>0</v>
      </c>
      <c r="E36" s="107">
        <f>SUM(E32:E35)</f>
        <v>0</v>
      </c>
      <c r="F36" s="96">
        <f>SUM(F32:F35)</f>
        <v>0</v>
      </c>
      <c r="G36" s="27">
        <f>SUM(G32:G35)</f>
        <v>0</v>
      </c>
      <c r="H36" s="27">
        <f t="shared" ref="H36:Q36" si="6">SUM(H32:H35)</f>
        <v>0</v>
      </c>
      <c r="I36" s="27">
        <f t="shared" si="6"/>
        <v>0</v>
      </c>
      <c r="J36" s="55">
        <f t="shared" si="6"/>
        <v>0</v>
      </c>
      <c r="K36" s="11">
        <f t="shared" si="6"/>
        <v>0</v>
      </c>
      <c r="L36" s="11">
        <f t="shared" si="6"/>
        <v>0</v>
      </c>
      <c r="M36" s="11">
        <f t="shared" si="6"/>
        <v>0</v>
      </c>
      <c r="N36" s="11">
        <f t="shared" si="6"/>
        <v>0</v>
      </c>
      <c r="O36" s="11">
        <f t="shared" si="6"/>
        <v>0</v>
      </c>
      <c r="P36" s="11">
        <f t="shared" si="6"/>
        <v>0</v>
      </c>
      <c r="Q36" s="11">
        <f t="shared" si="6"/>
        <v>0</v>
      </c>
      <c r="R36" s="29">
        <f t="shared" si="0"/>
        <v>0</v>
      </c>
    </row>
    <row r="37" spans="1:18" x14ac:dyDescent="0.25">
      <c r="A37" s="3"/>
      <c r="B37" s="3"/>
      <c r="C37" s="3"/>
      <c r="D37" s="11"/>
      <c r="E37" s="11"/>
      <c r="F37" s="48"/>
      <c r="G37" s="28"/>
      <c r="H37" s="28"/>
      <c r="I37" s="28"/>
      <c r="J37" s="41"/>
      <c r="K37" s="8"/>
      <c r="L37" s="8"/>
      <c r="M37" s="8"/>
      <c r="N37" s="8"/>
      <c r="O37" s="8"/>
      <c r="P37" s="8"/>
      <c r="Q37" s="8"/>
      <c r="R37" s="29">
        <f t="shared" si="0"/>
        <v>0</v>
      </c>
    </row>
    <row r="38" spans="1:18" x14ac:dyDescent="0.25">
      <c r="A38" s="3" t="s">
        <v>30</v>
      </c>
      <c r="B38" s="3"/>
      <c r="C38" s="3"/>
      <c r="D38" s="11">
        <f>D36+D30+D19</f>
        <v>55857089</v>
      </c>
      <c r="E38" s="11">
        <f>E36+E30+E19</f>
        <v>66122010</v>
      </c>
      <c r="F38" s="48">
        <f>F36+F30+F19</f>
        <v>7619794</v>
      </c>
      <c r="G38" s="27">
        <f>G36+G30+G19</f>
        <v>3243</v>
      </c>
      <c r="H38" s="27">
        <f t="shared" ref="H38:Q38" si="7">H36+H30+H19</f>
        <v>308122</v>
      </c>
      <c r="I38" s="27">
        <f t="shared" si="7"/>
        <v>2333762</v>
      </c>
      <c r="J38" s="55">
        <f t="shared" si="7"/>
        <v>6083766</v>
      </c>
      <c r="K38" s="11">
        <f t="shared" si="7"/>
        <v>9333764</v>
      </c>
      <c r="L38" s="11">
        <f t="shared" si="7"/>
        <v>6333764</v>
      </c>
      <c r="M38" s="11">
        <f t="shared" si="7"/>
        <v>7705795</v>
      </c>
      <c r="N38" s="11">
        <f t="shared" si="7"/>
        <v>11400000</v>
      </c>
      <c r="O38" s="11">
        <f t="shared" si="7"/>
        <v>10000000</v>
      </c>
      <c r="P38" s="11">
        <f t="shared" si="7"/>
        <v>5000000</v>
      </c>
      <c r="Q38" s="11">
        <f t="shared" si="7"/>
        <v>0</v>
      </c>
      <c r="R38" s="29">
        <f t="shared" si="0"/>
        <v>58502216</v>
      </c>
    </row>
    <row r="39" spans="1:18" x14ac:dyDescent="0.25">
      <c r="A39" s="3"/>
      <c r="B39" s="3"/>
      <c r="C39" s="3"/>
      <c r="D39" s="11"/>
      <c r="E39" s="11"/>
      <c r="F39" s="27"/>
      <c r="G39" s="28"/>
      <c r="H39" s="8"/>
      <c r="I39" s="28"/>
      <c r="J39" s="41"/>
      <c r="K39" s="8"/>
      <c r="L39" s="8"/>
      <c r="M39" s="8"/>
      <c r="N39" s="8"/>
      <c r="O39" s="8"/>
      <c r="P39" s="8"/>
      <c r="Q39" s="8"/>
      <c r="R39" s="26"/>
    </row>
    <row r="40" spans="1:18" ht="18.75" x14ac:dyDescent="0.3">
      <c r="A40" s="31" t="s">
        <v>2</v>
      </c>
      <c r="B40" s="10"/>
      <c r="C40" s="10"/>
      <c r="D40" s="12"/>
      <c r="E40" s="12"/>
      <c r="F40" s="12"/>
      <c r="G40" s="25"/>
      <c r="H40" s="10"/>
      <c r="I40" s="94"/>
      <c r="J40" s="103"/>
      <c r="K40" s="10"/>
      <c r="L40" s="10"/>
      <c r="M40" s="10"/>
      <c r="N40" s="10"/>
      <c r="O40" s="10"/>
      <c r="P40" s="10"/>
      <c r="Q40" s="10"/>
      <c r="R40" s="26"/>
    </row>
    <row r="41" spans="1:18" ht="30" x14ac:dyDescent="0.25">
      <c r="A41" s="4"/>
      <c r="B41" s="4"/>
      <c r="C41" s="4" t="s">
        <v>69</v>
      </c>
      <c r="D41" s="20" t="s">
        <v>81</v>
      </c>
      <c r="E41" s="20" t="s">
        <v>79</v>
      </c>
      <c r="F41" s="99">
        <v>2017</v>
      </c>
      <c r="G41" s="4">
        <v>2018</v>
      </c>
      <c r="H41" s="4">
        <v>2019</v>
      </c>
      <c r="I41" s="4">
        <v>2020</v>
      </c>
      <c r="J41" s="101">
        <v>2021</v>
      </c>
      <c r="K41" s="4">
        <v>2022</v>
      </c>
      <c r="L41" s="4">
        <v>2023</v>
      </c>
      <c r="M41" s="4">
        <v>2024</v>
      </c>
      <c r="N41" s="4">
        <v>2025</v>
      </c>
      <c r="O41" s="4">
        <v>2026</v>
      </c>
      <c r="P41" s="4">
        <v>2027</v>
      </c>
      <c r="Q41" s="4">
        <v>2028</v>
      </c>
      <c r="R41" s="22" t="s">
        <v>33</v>
      </c>
    </row>
    <row r="42" spans="1:18" x14ac:dyDescent="0.25">
      <c r="D42" s="7"/>
      <c r="E42" s="107"/>
      <c r="F42" s="113"/>
      <c r="G42" s="68"/>
      <c r="H42" s="68"/>
      <c r="I42" s="28"/>
      <c r="J42" s="41"/>
      <c r="K42" s="8"/>
      <c r="L42" s="8"/>
      <c r="M42" s="8"/>
      <c r="N42" s="8"/>
      <c r="O42" s="8"/>
      <c r="P42" s="8"/>
      <c r="Q42" s="8"/>
      <c r="R42" s="29">
        <f>SUM(G42:Q42)</f>
        <v>0</v>
      </c>
    </row>
    <row r="43" spans="1:18" x14ac:dyDescent="0.25">
      <c r="A43" t="s">
        <v>298</v>
      </c>
      <c r="D43" s="16">
        <f>SUM(D45:D50)</f>
        <v>55857089</v>
      </c>
      <c r="E43" s="107">
        <f>SUM(F43:Q43)</f>
        <v>66122010</v>
      </c>
      <c r="F43" s="100">
        <f>SUM(F45:F50)</f>
        <v>7619794</v>
      </c>
      <c r="G43" s="87">
        <f>SUM(G45:G50)</f>
        <v>3243</v>
      </c>
      <c r="H43" s="87">
        <f t="shared" ref="H43:Q43" si="8">SUM(H45:H50)</f>
        <v>308122</v>
      </c>
      <c r="I43" s="87">
        <f t="shared" si="8"/>
        <v>2333762</v>
      </c>
      <c r="J43" s="105">
        <f t="shared" si="8"/>
        <v>6083766</v>
      </c>
      <c r="K43" s="87">
        <f t="shared" si="8"/>
        <v>9333764</v>
      </c>
      <c r="L43" s="87">
        <f t="shared" si="8"/>
        <v>6333764</v>
      </c>
      <c r="M43" s="42">
        <f t="shared" si="8"/>
        <v>7705795</v>
      </c>
      <c r="N43" s="42">
        <f t="shared" si="8"/>
        <v>11400000</v>
      </c>
      <c r="O43" s="42">
        <f t="shared" si="8"/>
        <v>10000000</v>
      </c>
      <c r="P43" s="42">
        <f t="shared" si="8"/>
        <v>5000000</v>
      </c>
      <c r="Q43" s="41">
        <f t="shared" si="8"/>
        <v>0</v>
      </c>
      <c r="R43" s="29">
        <f>SUM(G43:Q43)</f>
        <v>58502216</v>
      </c>
    </row>
    <row r="44" spans="1:18" x14ac:dyDescent="0.25">
      <c r="D44" s="16"/>
      <c r="E44" s="107"/>
      <c r="F44" s="100"/>
      <c r="G44" s="87"/>
      <c r="H44" s="87"/>
      <c r="I44" s="87"/>
      <c r="J44" s="105"/>
      <c r="K44" s="87"/>
      <c r="L44" s="87"/>
      <c r="M44" s="42"/>
      <c r="N44" s="42"/>
      <c r="O44" s="42"/>
      <c r="P44" s="42"/>
      <c r="Q44" s="41"/>
      <c r="R44" s="29"/>
    </row>
    <row r="45" spans="1:18" x14ac:dyDescent="0.25">
      <c r="C45" t="s">
        <v>20</v>
      </c>
      <c r="D45" s="16">
        <f t="shared" ref="D45:D50" si="9">E45-F45-G45-H45-I45</f>
        <v>6357087</v>
      </c>
      <c r="E45" s="107">
        <f t="shared" ref="E45:E50" si="10">SUM(F45:Q45)</f>
        <v>8722010</v>
      </c>
      <c r="F45" s="100">
        <f>19794+200000</f>
        <v>219794</v>
      </c>
      <c r="G45" s="44">
        <f t="shared" ref="G45:N45" si="11">H60</f>
        <v>3243</v>
      </c>
      <c r="H45" s="44">
        <f t="shared" si="11"/>
        <v>308122</v>
      </c>
      <c r="I45" s="44">
        <f t="shared" si="11"/>
        <v>1833764</v>
      </c>
      <c r="J45" s="114">
        <f t="shared" si="11"/>
        <v>1833764</v>
      </c>
      <c r="K45" s="44">
        <f t="shared" si="11"/>
        <v>1833764</v>
      </c>
      <c r="L45" s="44">
        <f t="shared" si="11"/>
        <v>1833764</v>
      </c>
      <c r="M45" s="44">
        <f t="shared" si="11"/>
        <v>855795</v>
      </c>
      <c r="N45" s="44">
        <f t="shared" si="11"/>
        <v>0</v>
      </c>
      <c r="O45" s="45"/>
      <c r="P45" s="45"/>
      <c r="Q45" s="46"/>
      <c r="R45" s="29">
        <f t="shared" ref="R45:R53" si="12">SUM(G45:Q45)</f>
        <v>8502216</v>
      </c>
    </row>
    <row r="46" spans="1:18" x14ac:dyDescent="0.25">
      <c r="C46" t="s">
        <v>21</v>
      </c>
      <c r="D46" s="16">
        <f t="shared" si="9"/>
        <v>0</v>
      </c>
      <c r="E46" s="107">
        <f t="shared" si="10"/>
        <v>6000000</v>
      </c>
      <c r="F46" s="100">
        <v>6000000</v>
      </c>
      <c r="G46" s="45"/>
      <c r="H46" s="45"/>
      <c r="I46" s="45"/>
      <c r="J46" s="46"/>
      <c r="K46" s="45"/>
      <c r="L46" s="45"/>
      <c r="M46" s="45"/>
      <c r="N46" s="45"/>
      <c r="O46" s="45"/>
      <c r="P46" s="45"/>
      <c r="Q46" s="46"/>
      <c r="R46" s="29">
        <f t="shared" si="12"/>
        <v>0</v>
      </c>
    </row>
    <row r="47" spans="1:18" x14ac:dyDescent="0.25">
      <c r="C47" t="s">
        <v>22</v>
      </c>
      <c r="D47" s="16">
        <f t="shared" si="9"/>
        <v>18500002</v>
      </c>
      <c r="E47" s="107">
        <f t="shared" si="10"/>
        <v>19000000</v>
      </c>
      <c r="F47" s="100"/>
      <c r="G47" s="44"/>
      <c r="H47" s="44"/>
      <c r="I47" s="44">
        <v>499998</v>
      </c>
      <c r="J47" s="114">
        <v>4250002</v>
      </c>
      <c r="K47" s="44">
        <v>7500000</v>
      </c>
      <c r="L47" s="44">
        <v>4500000</v>
      </c>
      <c r="M47" s="44">
        <v>1500000</v>
      </c>
      <c r="N47" s="44">
        <v>750000</v>
      </c>
      <c r="O47" s="45"/>
      <c r="P47" s="45"/>
      <c r="Q47" s="46"/>
      <c r="R47" s="29">
        <f t="shared" si="12"/>
        <v>19000000</v>
      </c>
    </row>
    <row r="48" spans="1:18" x14ac:dyDescent="0.25">
      <c r="C48" t="s">
        <v>37</v>
      </c>
      <c r="D48" s="16">
        <f t="shared" si="9"/>
        <v>4650000</v>
      </c>
      <c r="E48" s="107">
        <f t="shared" si="10"/>
        <v>4650000</v>
      </c>
      <c r="F48" s="100"/>
      <c r="G48" s="44"/>
      <c r="H48" s="44"/>
      <c r="I48" s="44"/>
      <c r="J48" s="114"/>
      <c r="K48" s="44"/>
      <c r="L48" s="44"/>
      <c r="M48" s="44">
        <v>802500</v>
      </c>
      <c r="N48" s="44">
        <v>1597500</v>
      </c>
      <c r="O48" s="44">
        <v>1500000</v>
      </c>
      <c r="P48" s="44">
        <v>750000</v>
      </c>
      <c r="Q48" s="46"/>
      <c r="R48" s="29">
        <f t="shared" si="12"/>
        <v>4650000</v>
      </c>
    </row>
    <row r="49" spans="1:18" x14ac:dyDescent="0.25">
      <c r="C49" t="s">
        <v>23</v>
      </c>
      <c r="D49" s="16">
        <f t="shared" si="9"/>
        <v>23250000</v>
      </c>
      <c r="E49" s="107">
        <f t="shared" si="10"/>
        <v>24650000</v>
      </c>
      <c r="F49" s="100">
        <v>1400000</v>
      </c>
      <c r="G49" s="28"/>
      <c r="H49" s="28"/>
      <c r="I49" s="28"/>
      <c r="J49" s="41"/>
      <c r="K49" s="8"/>
      <c r="L49" s="8"/>
      <c r="M49" s="44">
        <f>5350000-M48-M50</f>
        <v>4012500</v>
      </c>
      <c r="N49" s="44">
        <f>10650000-N48-N50</f>
        <v>7987500</v>
      </c>
      <c r="O49" s="44">
        <f>10000000-O48-O50</f>
        <v>7500000</v>
      </c>
      <c r="P49" s="44">
        <f>5000000-P48-P50</f>
        <v>3750000</v>
      </c>
      <c r="Q49" s="8"/>
      <c r="R49" s="29">
        <f t="shared" si="12"/>
        <v>23250000</v>
      </c>
    </row>
    <row r="50" spans="1:18" x14ac:dyDescent="0.25">
      <c r="C50" t="s">
        <v>39</v>
      </c>
      <c r="D50" s="16">
        <f t="shared" si="9"/>
        <v>3100000</v>
      </c>
      <c r="E50" s="107">
        <f t="shared" si="10"/>
        <v>3100000</v>
      </c>
      <c r="F50" s="100"/>
      <c r="G50" s="28"/>
      <c r="H50" s="28"/>
      <c r="I50" s="28"/>
      <c r="J50" s="41"/>
      <c r="K50" s="8"/>
      <c r="L50" s="8"/>
      <c r="M50" s="8">
        <v>535000</v>
      </c>
      <c r="N50" s="8">
        <v>1065000</v>
      </c>
      <c r="O50" s="8">
        <v>1000000</v>
      </c>
      <c r="P50" s="8">
        <v>500000</v>
      </c>
      <c r="Q50" s="8"/>
      <c r="R50" s="29">
        <f t="shared" si="12"/>
        <v>3100000</v>
      </c>
    </row>
    <row r="51" spans="1:18" x14ac:dyDescent="0.25">
      <c r="D51" s="17"/>
      <c r="E51" s="17"/>
      <c r="F51" s="78"/>
      <c r="G51" s="28"/>
      <c r="H51" s="28"/>
      <c r="I51" s="28"/>
      <c r="J51" s="41"/>
      <c r="K51" s="8"/>
      <c r="L51" s="8"/>
      <c r="M51" s="8"/>
      <c r="N51" s="8"/>
      <c r="O51" s="8"/>
      <c r="P51" s="8"/>
      <c r="Q51" s="8"/>
      <c r="R51" s="29">
        <f t="shared" si="12"/>
        <v>0</v>
      </c>
    </row>
    <row r="52" spans="1:18" ht="15.75" thickBot="1" x14ac:dyDescent="0.3">
      <c r="A52" s="15" t="s">
        <v>31</v>
      </c>
      <c r="B52" s="15"/>
      <c r="C52" s="15"/>
      <c r="D52" s="19">
        <f>D43</f>
        <v>55857089</v>
      </c>
      <c r="E52" s="19">
        <f>E43</f>
        <v>66122010</v>
      </c>
      <c r="F52" s="33">
        <f>F43</f>
        <v>7619794</v>
      </c>
      <c r="G52" s="19">
        <f>G43</f>
        <v>3243</v>
      </c>
      <c r="H52" s="19">
        <f t="shared" ref="H52:Q52" si="13">H43</f>
        <v>308122</v>
      </c>
      <c r="I52" s="19">
        <f t="shared" si="13"/>
        <v>2333762</v>
      </c>
      <c r="J52" s="106">
        <f t="shared" si="13"/>
        <v>6083766</v>
      </c>
      <c r="K52" s="19">
        <f t="shared" si="13"/>
        <v>9333764</v>
      </c>
      <c r="L52" s="19">
        <f t="shared" si="13"/>
        <v>6333764</v>
      </c>
      <c r="M52" s="19">
        <f t="shared" si="13"/>
        <v>7705795</v>
      </c>
      <c r="N52" s="19">
        <f t="shared" si="13"/>
        <v>11400000</v>
      </c>
      <c r="O52" s="19">
        <f t="shared" si="13"/>
        <v>10000000</v>
      </c>
      <c r="P52" s="19">
        <f t="shared" si="13"/>
        <v>5000000</v>
      </c>
      <c r="Q52" s="19">
        <f t="shared" si="13"/>
        <v>0</v>
      </c>
      <c r="R52" s="30">
        <f t="shared" si="12"/>
        <v>58502216</v>
      </c>
    </row>
    <row r="53" spans="1:18" ht="15.75" thickTop="1" x14ac:dyDescent="0.25">
      <c r="A53" t="s">
        <v>32</v>
      </c>
      <c r="D53" s="17">
        <f t="shared" ref="D53:Q53" si="14">D38-D52</f>
        <v>0</v>
      </c>
      <c r="E53" s="17">
        <f t="shared" si="14"/>
        <v>0</v>
      </c>
      <c r="F53" s="17">
        <f t="shared" si="14"/>
        <v>0</v>
      </c>
      <c r="G53" s="17">
        <f>G38-G52</f>
        <v>0</v>
      </c>
      <c r="H53" s="17">
        <f t="shared" si="14"/>
        <v>0</v>
      </c>
      <c r="I53" s="79">
        <f t="shared" si="14"/>
        <v>0</v>
      </c>
      <c r="J53" s="80">
        <f t="shared" si="14"/>
        <v>0</v>
      </c>
      <c r="K53" s="17">
        <f t="shared" si="14"/>
        <v>0</v>
      </c>
      <c r="L53" s="17">
        <f t="shared" si="14"/>
        <v>0</v>
      </c>
      <c r="M53" s="17">
        <f t="shared" si="14"/>
        <v>0</v>
      </c>
      <c r="N53" s="17">
        <f t="shared" si="14"/>
        <v>0</v>
      </c>
      <c r="O53" s="17">
        <f t="shared" si="14"/>
        <v>0</v>
      </c>
      <c r="P53" s="17">
        <f t="shared" si="14"/>
        <v>0</v>
      </c>
      <c r="Q53" s="17">
        <f t="shared" si="14"/>
        <v>0</v>
      </c>
      <c r="R53" s="29">
        <f t="shared" si="12"/>
        <v>0</v>
      </c>
    </row>
    <row r="54" spans="1:18" x14ac:dyDescent="0.25">
      <c r="D54" s="17"/>
      <c r="E54" s="17"/>
      <c r="F54" s="32"/>
    </row>
    <row r="55" spans="1:18" x14ac:dyDescent="0.25">
      <c r="D55" s="17"/>
      <c r="E55" s="17"/>
      <c r="F55" s="32" t="s">
        <v>45</v>
      </c>
      <c r="H55">
        <v>0</v>
      </c>
    </row>
    <row r="56" spans="1:18" x14ac:dyDescent="0.25">
      <c r="D56" s="18"/>
      <c r="E56" s="18"/>
      <c r="F56" s="32" t="s">
        <v>75</v>
      </c>
      <c r="H56" s="62">
        <f>D30</f>
        <v>55857089</v>
      </c>
    </row>
    <row r="57" spans="1:18" x14ac:dyDescent="0.25">
      <c r="D57" s="18"/>
      <c r="E57" s="18"/>
      <c r="F57" s="32" t="s">
        <v>86</v>
      </c>
      <c r="H57" s="62"/>
    </row>
    <row r="58" spans="1:18" x14ac:dyDescent="0.25">
      <c r="D58" s="18"/>
      <c r="E58" s="18"/>
      <c r="F58" s="32"/>
    </row>
    <row r="59" spans="1:18" x14ac:dyDescent="0.25">
      <c r="D59" s="13"/>
      <c r="E59" s="13"/>
      <c r="G59">
        <v>2017</v>
      </c>
      <c r="H59">
        <v>2018</v>
      </c>
      <c r="I59">
        <v>2019</v>
      </c>
      <c r="J59">
        <v>2020</v>
      </c>
      <c r="K59">
        <v>2021</v>
      </c>
      <c r="L59">
        <v>2022</v>
      </c>
      <c r="M59">
        <v>2023</v>
      </c>
      <c r="N59">
        <v>2024</v>
      </c>
      <c r="O59">
        <v>2025</v>
      </c>
      <c r="P59">
        <v>2026</v>
      </c>
      <c r="Q59">
        <v>2027</v>
      </c>
      <c r="R59">
        <v>2028</v>
      </c>
    </row>
    <row r="60" spans="1:18" x14ac:dyDescent="0.25">
      <c r="D60" s="13"/>
      <c r="E60" s="13"/>
      <c r="F60" t="s">
        <v>46</v>
      </c>
      <c r="H60">
        <v>3243</v>
      </c>
      <c r="I60">
        <v>308122</v>
      </c>
      <c r="J60">
        <v>1833764</v>
      </c>
      <c r="K60">
        <v>1833764</v>
      </c>
      <c r="L60">
        <v>1833764</v>
      </c>
      <c r="M60">
        <v>1833764</v>
      </c>
      <c r="N60">
        <v>855795</v>
      </c>
      <c r="P60">
        <v>0</v>
      </c>
      <c r="Q60">
        <v>0</v>
      </c>
    </row>
    <row r="61" spans="1:18" x14ac:dyDescent="0.25">
      <c r="D61" s="13"/>
      <c r="E61" s="13"/>
      <c r="F61" t="s">
        <v>47</v>
      </c>
      <c r="J61">
        <v>499998</v>
      </c>
      <c r="K61">
        <v>4250002</v>
      </c>
      <c r="L61">
        <v>7500000</v>
      </c>
      <c r="M61">
        <v>4500000</v>
      </c>
      <c r="N61">
        <v>1500000</v>
      </c>
      <c r="O61">
        <v>750000</v>
      </c>
      <c r="P61">
        <v>0</v>
      </c>
      <c r="Q61">
        <v>0</v>
      </c>
    </row>
    <row r="62" spans="1:18" x14ac:dyDescent="0.25">
      <c r="D62" s="13"/>
      <c r="E62" s="13"/>
      <c r="F62" t="s">
        <v>48</v>
      </c>
      <c r="N62">
        <v>5350000</v>
      </c>
      <c r="O62">
        <v>10650000</v>
      </c>
      <c r="P62">
        <v>10000000</v>
      </c>
      <c r="Q62">
        <v>5000000</v>
      </c>
    </row>
    <row r="63" spans="1:18" x14ac:dyDescent="0.25">
      <c r="D63" s="14"/>
      <c r="E63" s="14"/>
    </row>
    <row r="64" spans="1:18" x14ac:dyDescent="0.25">
      <c r="D64" s="14"/>
      <c r="E64" s="14"/>
    </row>
    <row r="65" spans="4:5" x14ac:dyDescent="0.25">
      <c r="D65" s="14"/>
      <c r="E65" s="14"/>
    </row>
    <row r="66" spans="4:5" x14ac:dyDescent="0.25">
      <c r="D66" s="14"/>
      <c r="E66" s="14"/>
    </row>
  </sheetData>
  <pageMargins left="0.7" right="0.7" top="0.75" bottom="0.75" header="0.3" footer="0.3"/>
  <pageSetup paperSize="17" scale="49" orientation="portrait" horizontalDpi="1200" verticalDpi="12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39"/>
  <sheetViews>
    <sheetView zoomScale="70" zoomScaleNormal="70" workbookViewId="0">
      <selection activeCell="F40" sqref="F40"/>
    </sheetView>
  </sheetViews>
  <sheetFormatPr defaultRowHeight="15" x14ac:dyDescent="0.25"/>
  <cols>
    <col min="1" max="1" width="5.28515625" customWidth="1"/>
    <col min="2" max="2" width="25.5703125" customWidth="1"/>
    <col min="3" max="3" width="16.7109375" customWidth="1"/>
  </cols>
  <sheetData>
    <row r="1" spans="1:3" x14ac:dyDescent="0.25">
      <c r="A1" s="2" t="s">
        <v>98</v>
      </c>
    </row>
    <row r="3" spans="1:3" x14ac:dyDescent="0.25">
      <c r="B3" t="s">
        <v>92</v>
      </c>
    </row>
    <row r="4" spans="1:3" x14ac:dyDescent="0.25">
      <c r="B4" t="s">
        <v>97</v>
      </c>
      <c r="C4" s="131">
        <f>+'Independent Utility'!M143+'Independent Utility'!M144</f>
        <v>12500000</v>
      </c>
    </row>
    <row r="6" spans="1:3" x14ac:dyDescent="0.25">
      <c r="A6" t="s">
        <v>87</v>
      </c>
    </row>
    <row r="8" spans="1:3" x14ac:dyDescent="0.25">
      <c r="B8" t="s">
        <v>88</v>
      </c>
      <c r="C8" s="8">
        <f>'1 North Wenatchee Ave'!G78</f>
        <v>21000000</v>
      </c>
    </row>
    <row r="9" spans="1:3" x14ac:dyDescent="0.25">
      <c r="B9" t="s">
        <v>89</v>
      </c>
      <c r="C9" s="8">
        <f>'1 North Wenatchee Ave'!G79</f>
        <v>31664893</v>
      </c>
    </row>
    <row r="10" spans="1:3" x14ac:dyDescent="0.25">
      <c r="B10" t="s">
        <v>90</v>
      </c>
      <c r="C10" s="8">
        <f>'1 North Wenatchee Ave'!G80</f>
        <v>0</v>
      </c>
    </row>
    <row r="12" spans="1:3" x14ac:dyDescent="0.25">
      <c r="A12" t="s">
        <v>27</v>
      </c>
    </row>
    <row r="14" spans="1:3" x14ac:dyDescent="0.25">
      <c r="B14" t="s">
        <v>88</v>
      </c>
      <c r="C14" s="8">
        <f>'2 Confluence Parkway'!G79</f>
        <v>103049360</v>
      </c>
    </row>
    <row r="15" spans="1:3" x14ac:dyDescent="0.25">
      <c r="B15" t="s">
        <v>89</v>
      </c>
      <c r="C15" s="8">
        <f>'2 Confluence Parkway'!G80</f>
        <v>34900000</v>
      </c>
    </row>
    <row r="16" spans="1:3" x14ac:dyDescent="0.25">
      <c r="B16" t="s">
        <v>90</v>
      </c>
      <c r="C16" s="8">
        <f>'2 Confluence Parkway'!G81</f>
        <v>0</v>
      </c>
    </row>
    <row r="18" spans="1:3" x14ac:dyDescent="0.25">
      <c r="A18" t="s">
        <v>55</v>
      </c>
    </row>
    <row r="20" spans="1:3" x14ac:dyDescent="0.25">
      <c r="B20" t="s">
        <v>88</v>
      </c>
      <c r="C20" s="8">
        <f>'3 Cascade Int'!G70</f>
        <v>16364756</v>
      </c>
    </row>
    <row r="21" spans="1:3" x14ac:dyDescent="0.25">
      <c r="B21" t="s">
        <v>89</v>
      </c>
      <c r="C21" s="8">
        <f>'3 Cascade Int'!G71</f>
        <v>0</v>
      </c>
    </row>
    <row r="22" spans="1:3" x14ac:dyDescent="0.25">
      <c r="B22" t="s">
        <v>90</v>
      </c>
      <c r="C22" s="8">
        <f>'3 Cascade Int'!G72</f>
        <v>0</v>
      </c>
    </row>
    <row r="24" spans="1:3" x14ac:dyDescent="0.25">
      <c r="A24" t="s">
        <v>52</v>
      </c>
    </row>
    <row r="26" spans="1:3" x14ac:dyDescent="0.25">
      <c r="B26" t="s">
        <v>88</v>
      </c>
      <c r="C26" s="8">
        <f>'4 Sunset Highway'!H55</f>
        <v>0</v>
      </c>
    </row>
    <row r="27" spans="1:3" x14ac:dyDescent="0.25">
      <c r="B27" t="s">
        <v>89</v>
      </c>
      <c r="C27" s="8">
        <f>'4 Sunset Highway'!H56</f>
        <v>55857089</v>
      </c>
    </row>
    <row r="28" spans="1:3" x14ac:dyDescent="0.25">
      <c r="B28" t="s">
        <v>90</v>
      </c>
      <c r="C28" s="8">
        <f>'4 Sunset Highway'!H57</f>
        <v>0</v>
      </c>
    </row>
    <row r="31" spans="1:3" x14ac:dyDescent="0.25">
      <c r="A31" t="s">
        <v>91</v>
      </c>
    </row>
    <row r="33" spans="2:3" x14ac:dyDescent="0.25">
      <c r="B33" t="s">
        <v>88</v>
      </c>
      <c r="C33" s="8">
        <f>C26+C20+C14+C8</f>
        <v>140414116</v>
      </c>
    </row>
    <row r="34" spans="2:3" x14ac:dyDescent="0.25">
      <c r="B34" t="s">
        <v>89</v>
      </c>
      <c r="C34" s="8">
        <f>C27+C21+C15+C9</f>
        <v>122421982</v>
      </c>
    </row>
    <row r="35" spans="2:3" x14ac:dyDescent="0.25">
      <c r="B35" t="s">
        <v>90</v>
      </c>
      <c r="C35" s="8">
        <f>C28+C22+C16+C10</f>
        <v>0</v>
      </c>
    </row>
    <row r="37" spans="2:3" x14ac:dyDescent="0.25">
      <c r="B37" t="s">
        <v>93</v>
      </c>
      <c r="C37" s="62">
        <f>SUM(C33:C35)</f>
        <v>262836098</v>
      </c>
    </row>
    <row r="38" spans="2:3" x14ac:dyDescent="0.25">
      <c r="B38" t="s">
        <v>73</v>
      </c>
      <c r="C38" s="62">
        <f>C35+C34</f>
        <v>122421982</v>
      </c>
    </row>
    <row r="39" spans="2:3" x14ac:dyDescent="0.25">
      <c r="B39" t="s">
        <v>94</v>
      </c>
      <c r="C39" s="37">
        <f>C38/C37</f>
        <v>0.46577309179198056</v>
      </c>
    </row>
  </sheetData>
  <pageMargins left="0.7" right="0.7" top="0.75" bottom="0.75" header="0.3" footer="0.3"/>
  <pageSetup orientation="portrait" r:id="rId1"/>
  <headerFooter>
    <oddFooter>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101"/>
  <sheetViews>
    <sheetView zoomScale="70" zoomScaleNormal="70" workbookViewId="0"/>
  </sheetViews>
  <sheetFormatPr defaultRowHeight="15" x14ac:dyDescent="0.25"/>
  <cols>
    <col min="1" max="1" width="3.5703125" customWidth="1"/>
    <col min="2" max="2" width="5" customWidth="1"/>
    <col min="3" max="3" width="34.7109375" customWidth="1"/>
    <col min="4" max="4" width="20.85546875" customWidth="1"/>
    <col min="5" max="5" width="21.7109375" customWidth="1"/>
    <col min="6" max="6" width="18.28515625" customWidth="1"/>
    <col min="7" max="7" width="18.42578125" customWidth="1"/>
    <col min="8" max="8" width="20.7109375" customWidth="1"/>
    <col min="9" max="9" width="21.42578125" customWidth="1"/>
    <col min="10" max="10" width="18.7109375" customWidth="1"/>
    <col min="11" max="11" width="19.140625" customWidth="1"/>
    <col min="12" max="12" width="18.7109375" customWidth="1"/>
    <col min="13" max="13" width="19.140625" customWidth="1"/>
    <col min="14" max="14" width="18.42578125" customWidth="1"/>
    <col min="15" max="15" width="21.42578125" customWidth="1"/>
    <col min="16" max="16" width="19.28515625" customWidth="1"/>
    <col min="17" max="17" width="10.5703125" customWidth="1"/>
    <col min="18" max="18" width="19.85546875" customWidth="1"/>
  </cols>
  <sheetData>
    <row r="1" spans="1:18" ht="18.75" x14ac:dyDescent="0.3">
      <c r="A1" s="75" t="s">
        <v>67</v>
      </c>
    </row>
    <row r="4" spans="1:18" x14ac:dyDescent="0.25">
      <c r="C4" s="77"/>
      <c r="D4" s="38"/>
      <c r="E4" s="43"/>
    </row>
    <row r="5" spans="1:18" x14ac:dyDescent="0.25">
      <c r="C5" s="77" t="s">
        <v>51</v>
      </c>
      <c r="D5" s="38"/>
      <c r="E5" s="70"/>
      <c r="F5" s="70"/>
      <c r="G5" s="70"/>
    </row>
    <row r="6" spans="1:18" x14ac:dyDescent="0.25">
      <c r="C6" t="s">
        <v>60</v>
      </c>
      <c r="D6" s="107"/>
      <c r="E6" s="70"/>
      <c r="F6" s="70"/>
      <c r="G6" s="70"/>
    </row>
    <row r="7" spans="1:18" x14ac:dyDescent="0.25">
      <c r="C7" t="s">
        <v>78</v>
      </c>
      <c r="D7" s="7"/>
      <c r="E7" s="70"/>
      <c r="F7" s="70"/>
      <c r="G7" s="70"/>
    </row>
    <row r="8" spans="1:18" x14ac:dyDescent="0.25">
      <c r="C8" t="s">
        <v>0</v>
      </c>
      <c r="D8" s="21"/>
      <c r="E8" s="70"/>
      <c r="F8" s="70"/>
      <c r="G8" s="70"/>
    </row>
    <row r="9" spans="1:18" x14ac:dyDescent="0.25">
      <c r="C9" t="s">
        <v>59</v>
      </c>
      <c r="D9" s="86"/>
      <c r="E9" s="70"/>
      <c r="F9" s="70"/>
    </row>
    <row r="10" spans="1:18" x14ac:dyDescent="0.25">
      <c r="C10" t="s">
        <v>23</v>
      </c>
      <c r="D10" s="61"/>
      <c r="E10" s="70"/>
      <c r="F10" s="70"/>
      <c r="I10" s="119"/>
      <c r="J10" s="119" t="s">
        <v>100</v>
      </c>
      <c r="K10" s="117" t="s">
        <v>99</v>
      </c>
    </row>
    <row r="11" spans="1:18" ht="18.75" x14ac:dyDescent="0.3">
      <c r="A11" s="31" t="s">
        <v>1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</row>
    <row r="12" spans="1:18" x14ac:dyDescent="0.25">
      <c r="A12" s="4"/>
      <c r="B12" s="4"/>
      <c r="C12" s="4" t="s">
        <v>3</v>
      </c>
      <c r="D12" s="20" t="s">
        <v>80</v>
      </c>
      <c r="E12" s="20" t="s">
        <v>79</v>
      </c>
      <c r="F12" s="22">
        <v>2017</v>
      </c>
      <c r="G12" s="4">
        <v>2018</v>
      </c>
      <c r="H12" s="4">
        <v>2019</v>
      </c>
      <c r="I12" s="4">
        <v>2020</v>
      </c>
      <c r="J12" s="101">
        <v>2021</v>
      </c>
      <c r="K12" s="4">
        <v>2022</v>
      </c>
      <c r="L12" s="4">
        <v>2023</v>
      </c>
      <c r="M12" s="4">
        <v>2024</v>
      </c>
      <c r="N12" s="4">
        <v>2025</v>
      </c>
      <c r="O12" s="4">
        <v>2026</v>
      </c>
      <c r="P12" s="4">
        <v>2027</v>
      </c>
      <c r="Q12" s="4">
        <v>2028</v>
      </c>
      <c r="R12" s="22" t="s">
        <v>34</v>
      </c>
    </row>
    <row r="13" spans="1:18" x14ac:dyDescent="0.25">
      <c r="A13" s="3" t="s">
        <v>5</v>
      </c>
      <c r="B13" s="3"/>
      <c r="C13" s="3"/>
      <c r="D13" s="5"/>
      <c r="E13" s="108"/>
      <c r="F13" s="111"/>
      <c r="G13" s="93"/>
      <c r="H13" s="112"/>
      <c r="I13" s="93"/>
      <c r="J13" s="102"/>
      <c r="K13" s="6"/>
      <c r="L13" s="6"/>
      <c r="M13" s="6"/>
      <c r="N13" s="6"/>
      <c r="O13" s="6"/>
      <c r="P13" s="6"/>
      <c r="Q13" s="6"/>
      <c r="R13" s="29"/>
    </row>
    <row r="14" spans="1:18" x14ac:dyDescent="0.25">
      <c r="A14" s="3"/>
      <c r="B14" s="3"/>
      <c r="C14" s="3" t="s">
        <v>6</v>
      </c>
      <c r="D14" s="7">
        <f>'1 North Wenatchee Ave'!D12+'2 Confluence Parkway'!D12+'3 Cascade Int'!D12+'4 Sunset Highway'!D12</f>
        <v>11000000</v>
      </c>
      <c r="E14" s="108">
        <f>'1 North Wenatchee Ave'!E12+'2 Confluence Parkway'!E12+'3 Cascade Int'!E12+'4 Sunset Highway'!E12</f>
        <v>15134981.064750001</v>
      </c>
      <c r="F14" s="96">
        <f>'1 North Wenatchee Ave'!F12+'2 Confluence Parkway'!F12+'3 Cascade Int'!F12+'4 Sunset Highway'!F12</f>
        <v>274092.44890000008</v>
      </c>
      <c r="G14" s="28">
        <f>'1 North Wenatchee Ave'!G12+'2 Confluence Parkway'!G12+'3 Cascade Int'!G12+'4 Sunset Highway'!G12</f>
        <v>479309.2649999999</v>
      </c>
      <c r="H14" s="28">
        <f>'1 North Wenatchee Ave'!H12+'2 Confluence Parkway'!H12+'3 Cascade Int'!H12+'4 Sunset Highway'!H12</f>
        <v>494034.90944999992</v>
      </c>
      <c r="I14" s="28">
        <f>'1 North Wenatchee Ave'!I12+'2 Confluence Parkway'!I12+'3 Cascade Int'!I12+'4 Sunset Highway'!I12</f>
        <v>847492.25139999995</v>
      </c>
      <c r="J14" s="41">
        <f>'1 North Wenatchee Ave'!J12+'2 Confluence Parkway'!J12+'3 Cascade Int'!J12+'4 Sunset Highway'!J12</f>
        <v>2040052.19</v>
      </c>
      <c r="K14" s="28">
        <f>'1 North Wenatchee Ave'!K12+'2 Confluence Parkway'!K12+'3 Cascade Int'!K12+'4 Sunset Highway'!K12</f>
        <v>3500000</v>
      </c>
      <c r="L14" s="28">
        <f>'1 North Wenatchee Ave'!L12+'2 Confluence Parkway'!L12+'3 Cascade Int'!L12+'4 Sunset Highway'!L12</f>
        <v>7500000</v>
      </c>
      <c r="M14" s="28">
        <f>'1 North Wenatchee Ave'!M12+'2 Confluence Parkway'!M12+'3 Cascade Int'!M12+'4 Sunset Highway'!M12</f>
        <v>0</v>
      </c>
      <c r="N14" s="28">
        <f>'1 North Wenatchee Ave'!N12+'2 Confluence Parkway'!N12+'3 Cascade Int'!N12+'4 Sunset Highway'!N12</f>
        <v>0</v>
      </c>
      <c r="O14" s="28">
        <f>'1 North Wenatchee Ave'!O12+'2 Confluence Parkway'!O12+'3 Cascade Int'!O12+'4 Sunset Highway'!O12</f>
        <v>0</v>
      </c>
      <c r="P14" s="28">
        <f>'1 North Wenatchee Ave'!P12+'2 Confluence Parkway'!P12+'3 Cascade Int'!P12+'4 Sunset Highway'!P12</f>
        <v>0</v>
      </c>
      <c r="Q14" s="41">
        <f>'1 North Wenatchee Ave'!Q12+'2 Confluence Parkway'!Q12+'3 Cascade Int'!Q12+'4 Sunset Highway'!Q12</f>
        <v>0</v>
      </c>
      <c r="R14" s="29">
        <f t="shared" ref="R14:R40" si="0">SUM(G14:Q14)</f>
        <v>14860888.61585</v>
      </c>
    </row>
    <row r="15" spans="1:18" x14ac:dyDescent="0.25">
      <c r="A15" s="3"/>
      <c r="B15" s="3"/>
      <c r="C15" s="3" t="s">
        <v>70</v>
      </c>
      <c r="D15" s="7">
        <f>'1 North Wenatchee Ave'!D13+'2 Confluence Parkway'!D13+'3 Cascade Int'!D13+'4 Sunset Highway'!D13</f>
        <v>0</v>
      </c>
      <c r="E15" s="108">
        <f>'1 North Wenatchee Ave'!E13+'2 Confluence Parkway'!E13+'3 Cascade Int'!E13+'4 Sunset Highway'!E13</f>
        <v>264082</v>
      </c>
      <c r="F15" s="96">
        <f>'1 North Wenatchee Ave'!F13+'2 Confluence Parkway'!F13+'3 Cascade Int'!F13+'4 Sunset Highway'!F13</f>
        <v>264082</v>
      </c>
      <c r="G15" s="28">
        <f>'1 North Wenatchee Ave'!G13+'2 Confluence Parkway'!G13+'3 Cascade Int'!G13+'4 Sunset Highway'!G13</f>
        <v>0</v>
      </c>
      <c r="H15" s="28">
        <f>'1 North Wenatchee Ave'!H13+'2 Confluence Parkway'!H13+'3 Cascade Int'!H13+'4 Sunset Highway'!H13</f>
        <v>0</v>
      </c>
      <c r="I15" s="28">
        <f>'1 North Wenatchee Ave'!I13+'2 Confluence Parkway'!I13+'3 Cascade Int'!I13+'4 Sunset Highway'!I13</f>
        <v>0</v>
      </c>
      <c r="J15" s="41">
        <f>'1 North Wenatchee Ave'!J13+'2 Confluence Parkway'!J13+'3 Cascade Int'!J13+'4 Sunset Highway'!J13</f>
        <v>0</v>
      </c>
      <c r="K15" s="28">
        <f>'1 North Wenatchee Ave'!K13+'2 Confluence Parkway'!K13+'3 Cascade Int'!K13+'4 Sunset Highway'!K13</f>
        <v>0</v>
      </c>
      <c r="L15" s="28">
        <f>'1 North Wenatchee Ave'!L13+'2 Confluence Parkway'!L13+'3 Cascade Int'!L13+'4 Sunset Highway'!L13</f>
        <v>0</v>
      </c>
      <c r="M15" s="28">
        <f>'1 North Wenatchee Ave'!M13+'2 Confluence Parkway'!M13+'3 Cascade Int'!M13+'4 Sunset Highway'!M13</f>
        <v>0</v>
      </c>
      <c r="N15" s="28">
        <f>'1 North Wenatchee Ave'!N13+'2 Confluence Parkway'!N13+'3 Cascade Int'!N13+'4 Sunset Highway'!N13</f>
        <v>0</v>
      </c>
      <c r="O15" s="28">
        <f>'1 North Wenatchee Ave'!O13+'2 Confluence Parkway'!O13+'3 Cascade Int'!O13+'4 Sunset Highway'!O13</f>
        <v>0</v>
      </c>
      <c r="P15" s="28">
        <f>'1 North Wenatchee Ave'!P13+'2 Confluence Parkway'!P13+'3 Cascade Int'!P13+'4 Sunset Highway'!P13</f>
        <v>0</v>
      </c>
      <c r="Q15" s="41">
        <f>'1 North Wenatchee Ave'!Q13+'2 Confluence Parkway'!Q13+'3 Cascade Int'!Q13+'4 Sunset Highway'!Q13</f>
        <v>0</v>
      </c>
      <c r="R15" s="29">
        <f t="shared" si="0"/>
        <v>0</v>
      </c>
    </row>
    <row r="16" spans="1:18" x14ac:dyDescent="0.25">
      <c r="A16" s="3"/>
      <c r="B16" s="3"/>
      <c r="C16" s="3" t="s">
        <v>16</v>
      </c>
      <c r="D16" s="7">
        <f>'1 North Wenatchee Ave'!D14+'2 Confluence Parkway'!D14+'3 Cascade Int'!D14+'4 Sunset Highway'!D14</f>
        <v>0</v>
      </c>
      <c r="E16" s="108">
        <f>'1 North Wenatchee Ave'!E14+'2 Confluence Parkway'!E14+'3 Cascade Int'!E14+'4 Sunset Highway'!E14</f>
        <v>570000</v>
      </c>
      <c r="F16" s="96">
        <f>'1 North Wenatchee Ave'!F14+'2 Confluence Parkway'!F14+'3 Cascade Int'!F14+'4 Sunset Highway'!F14</f>
        <v>570000</v>
      </c>
      <c r="G16" s="28">
        <f>'1 North Wenatchee Ave'!G14+'2 Confluence Parkway'!G14+'3 Cascade Int'!G14+'4 Sunset Highway'!G14</f>
        <v>0</v>
      </c>
      <c r="H16" s="28">
        <f>'1 North Wenatchee Ave'!H14+'2 Confluence Parkway'!H14+'3 Cascade Int'!H14+'4 Sunset Highway'!H14</f>
        <v>0</v>
      </c>
      <c r="I16" s="28">
        <f>'1 North Wenatchee Ave'!I14+'2 Confluence Parkway'!I14+'3 Cascade Int'!I14+'4 Sunset Highway'!I14</f>
        <v>0</v>
      </c>
      <c r="J16" s="41">
        <f>'1 North Wenatchee Ave'!J14+'2 Confluence Parkway'!J14+'3 Cascade Int'!J14+'4 Sunset Highway'!J14</f>
        <v>0</v>
      </c>
      <c r="K16" s="28">
        <f>'1 North Wenatchee Ave'!K14+'2 Confluence Parkway'!K14+'3 Cascade Int'!K14+'4 Sunset Highway'!K14</f>
        <v>0</v>
      </c>
      <c r="L16" s="28">
        <f>'1 North Wenatchee Ave'!L14+'2 Confluence Parkway'!L14+'3 Cascade Int'!L14+'4 Sunset Highway'!L14</f>
        <v>0</v>
      </c>
      <c r="M16" s="28">
        <f>'1 North Wenatchee Ave'!M14+'2 Confluence Parkway'!M14+'3 Cascade Int'!M14+'4 Sunset Highway'!M14</f>
        <v>0</v>
      </c>
      <c r="N16" s="28">
        <f>'1 North Wenatchee Ave'!N14+'2 Confluence Parkway'!N14+'3 Cascade Int'!N14+'4 Sunset Highway'!N14</f>
        <v>0</v>
      </c>
      <c r="O16" s="28">
        <f>'1 North Wenatchee Ave'!O14+'2 Confluence Parkway'!O14+'3 Cascade Int'!O14+'4 Sunset Highway'!O14</f>
        <v>0</v>
      </c>
      <c r="P16" s="28">
        <f>'1 North Wenatchee Ave'!P14+'2 Confluence Parkway'!P14+'3 Cascade Int'!P14+'4 Sunset Highway'!P14</f>
        <v>0</v>
      </c>
      <c r="Q16" s="41">
        <f>'1 North Wenatchee Ave'!Q14+'2 Confluence Parkway'!Q14+'3 Cascade Int'!Q14+'4 Sunset Highway'!Q14</f>
        <v>0</v>
      </c>
      <c r="R16" s="29">
        <f t="shared" si="0"/>
        <v>0</v>
      </c>
    </row>
    <row r="17" spans="1:18" hidden="1" x14ac:dyDescent="0.25">
      <c r="A17" s="3"/>
      <c r="B17" s="3"/>
      <c r="C17" s="3" t="s">
        <v>8</v>
      </c>
      <c r="D17" s="7">
        <f>'1 North Wenatchee Ave'!D15+'2 Confluence Parkway'!D15+'3 Cascade Int'!D15+'4 Sunset Highway'!D15</f>
        <v>0</v>
      </c>
      <c r="E17" s="108">
        <f>'1 North Wenatchee Ave'!E15+'2 Confluence Parkway'!E15+'3 Cascade Int'!E15+'4 Sunset Highway'!E15</f>
        <v>400000</v>
      </c>
      <c r="F17" s="96">
        <f>'1 North Wenatchee Ave'!F15+'2 Confluence Parkway'!F15+'3 Cascade Int'!F15+'4 Sunset Highway'!F15</f>
        <v>0</v>
      </c>
      <c r="G17" s="28">
        <f>'1 North Wenatchee Ave'!G15+'2 Confluence Parkway'!G15+'3 Cascade Int'!G15+'4 Sunset Highway'!G15</f>
        <v>0</v>
      </c>
      <c r="H17" s="28">
        <f>'1 North Wenatchee Ave'!H15+'2 Confluence Parkway'!H15+'3 Cascade Int'!H15+'4 Sunset Highway'!H15</f>
        <v>0</v>
      </c>
      <c r="I17" s="28">
        <f>'1 North Wenatchee Ave'!I15+'2 Confluence Parkway'!I15+'3 Cascade Int'!I15+'4 Sunset Highway'!I15</f>
        <v>250000</v>
      </c>
      <c r="J17" s="41">
        <f>'1 North Wenatchee Ave'!J15+'2 Confluence Parkway'!J15+'3 Cascade Int'!J15+'4 Sunset Highway'!J15</f>
        <v>150000</v>
      </c>
      <c r="K17" s="28">
        <f>'1 North Wenatchee Ave'!K15+'2 Confluence Parkway'!K15+'3 Cascade Int'!K15+'4 Sunset Highway'!K15</f>
        <v>0</v>
      </c>
      <c r="L17" s="28">
        <f>'1 North Wenatchee Ave'!L15+'2 Confluence Parkway'!L15+'3 Cascade Int'!L15+'4 Sunset Highway'!L15</f>
        <v>0</v>
      </c>
      <c r="M17" s="28">
        <f>'1 North Wenatchee Ave'!M15+'2 Confluence Parkway'!M15+'3 Cascade Int'!M15+'4 Sunset Highway'!M15</f>
        <v>0</v>
      </c>
      <c r="N17" s="28">
        <f>'1 North Wenatchee Ave'!N15+'2 Confluence Parkway'!N15+'3 Cascade Int'!N15+'4 Sunset Highway'!N15</f>
        <v>0</v>
      </c>
      <c r="O17" s="28">
        <f>'1 North Wenatchee Ave'!O15+'2 Confluence Parkway'!O15+'3 Cascade Int'!O15+'4 Sunset Highway'!O15</f>
        <v>0</v>
      </c>
      <c r="P17" s="28">
        <f>'1 North Wenatchee Ave'!P15+'2 Confluence Parkway'!P15+'3 Cascade Int'!P15+'4 Sunset Highway'!P15</f>
        <v>0</v>
      </c>
      <c r="Q17" s="41">
        <f>'1 North Wenatchee Ave'!Q15+'2 Confluence Parkway'!Q15+'3 Cascade Int'!Q15+'4 Sunset Highway'!Q15</f>
        <v>0</v>
      </c>
      <c r="R17" s="29">
        <f t="shared" si="0"/>
        <v>400000</v>
      </c>
    </row>
    <row r="18" spans="1:18" x14ac:dyDescent="0.25">
      <c r="A18" s="3"/>
      <c r="B18" s="3"/>
      <c r="C18" s="3" t="s">
        <v>12</v>
      </c>
      <c r="D18" s="7">
        <f>'1 North Wenatchee Ave'!D16+'2 Confluence Parkway'!D16+'3 Cascade Int'!D16+'4 Sunset Highway'!D16</f>
        <v>1000000</v>
      </c>
      <c r="E18" s="108">
        <f>'1 North Wenatchee Ave'!E16+'2 Confluence Parkway'!E16+'3 Cascade Int'!E16+'4 Sunset Highway'!E16</f>
        <v>1000000</v>
      </c>
      <c r="F18" s="96">
        <f>'1 North Wenatchee Ave'!F16+'2 Confluence Parkway'!F16+'3 Cascade Int'!F16+'4 Sunset Highway'!F16</f>
        <v>0</v>
      </c>
      <c r="G18" s="28">
        <f>'1 North Wenatchee Ave'!G16+'2 Confluence Parkway'!G16+'3 Cascade Int'!G16+'4 Sunset Highway'!G16</f>
        <v>0</v>
      </c>
      <c r="H18" s="28">
        <f>'1 North Wenatchee Ave'!H16+'2 Confluence Parkway'!H16+'3 Cascade Int'!H16+'4 Sunset Highway'!H16</f>
        <v>0</v>
      </c>
      <c r="I18" s="28">
        <f>'1 North Wenatchee Ave'!I16+'2 Confluence Parkway'!I16+'3 Cascade Int'!I16+'4 Sunset Highway'!I16</f>
        <v>0</v>
      </c>
      <c r="J18" s="41">
        <f>'1 North Wenatchee Ave'!J16+'2 Confluence Parkway'!J16+'3 Cascade Int'!J16+'4 Sunset Highway'!J16</f>
        <v>0</v>
      </c>
      <c r="K18" s="28">
        <f>'1 North Wenatchee Ave'!K16+'2 Confluence Parkway'!K16+'3 Cascade Int'!K16+'4 Sunset Highway'!K16</f>
        <v>0</v>
      </c>
      <c r="L18" s="28">
        <f>'1 North Wenatchee Ave'!L16+'2 Confluence Parkway'!L16+'3 Cascade Int'!L16+'4 Sunset Highway'!L16</f>
        <v>0</v>
      </c>
      <c r="M18" s="28">
        <f>'1 North Wenatchee Ave'!M16+'2 Confluence Parkway'!M16+'3 Cascade Int'!M16+'4 Sunset Highway'!M16</f>
        <v>0</v>
      </c>
      <c r="N18" s="28">
        <f>'1 North Wenatchee Ave'!N16+'2 Confluence Parkway'!N16+'3 Cascade Int'!N16+'4 Sunset Highway'!N16</f>
        <v>1000000</v>
      </c>
      <c r="O18" s="28">
        <f>'1 North Wenatchee Ave'!O16+'2 Confluence Parkway'!O16+'3 Cascade Int'!O16+'4 Sunset Highway'!O16</f>
        <v>0</v>
      </c>
      <c r="P18" s="28">
        <f>'1 North Wenatchee Ave'!P16+'2 Confluence Parkway'!P16+'3 Cascade Int'!P16+'4 Sunset Highway'!P16</f>
        <v>0</v>
      </c>
      <c r="Q18" s="41">
        <f>'1 North Wenatchee Ave'!Q16+'2 Confluence Parkway'!Q16+'3 Cascade Int'!Q16+'4 Sunset Highway'!Q16</f>
        <v>0</v>
      </c>
      <c r="R18" s="29">
        <f t="shared" si="0"/>
        <v>1000000</v>
      </c>
    </row>
    <row r="19" spans="1:18" hidden="1" x14ac:dyDescent="0.25">
      <c r="A19" s="3"/>
      <c r="B19" s="3"/>
      <c r="C19" s="3" t="s">
        <v>41</v>
      </c>
      <c r="D19" s="7">
        <f>'1 North Wenatchee Ave'!D17+'2 Confluence Parkway'!D17+'3 Cascade Int'!D17+'4 Sunset Highway'!D17</f>
        <v>1500000</v>
      </c>
      <c r="E19" s="108"/>
      <c r="F19" s="96">
        <f>'1 North Wenatchee Ave'!F17+'2 Confluence Parkway'!F17+'3 Cascade Int'!F17+'4 Sunset Highway'!F17</f>
        <v>0</v>
      </c>
      <c r="G19" s="28">
        <f>'1 North Wenatchee Ave'!G17+'2 Confluence Parkway'!G17+'3 Cascade Int'!G17+'4 Sunset Highway'!G17</f>
        <v>859000</v>
      </c>
      <c r="H19" s="28">
        <f>'1 North Wenatchee Ave'!H17+'2 Confluence Parkway'!H17+'3 Cascade Int'!H17+'4 Sunset Highway'!H17</f>
        <v>93899</v>
      </c>
      <c r="I19" s="28">
        <f>'1 North Wenatchee Ave'!I17+'2 Confluence Parkway'!I17+'3 Cascade Int'!I17+'4 Sunset Highway'!I17</f>
        <v>106101</v>
      </c>
      <c r="J19" s="41">
        <f>'1 North Wenatchee Ave'!J17+'2 Confluence Parkway'!J17+'3 Cascade Int'!J17+'4 Sunset Highway'!J17</f>
        <v>500000</v>
      </c>
      <c r="K19" s="28">
        <f>'1 North Wenatchee Ave'!K17+'2 Confluence Parkway'!K17+'3 Cascade Int'!K17+'4 Sunset Highway'!K17</f>
        <v>500000</v>
      </c>
      <c r="L19" s="28">
        <f>'1 North Wenatchee Ave'!L17+'2 Confluence Parkway'!L17+'3 Cascade Int'!L17+'4 Sunset Highway'!L17</f>
        <v>1000000</v>
      </c>
      <c r="M19" s="28">
        <f>'1 North Wenatchee Ave'!M17+'2 Confluence Parkway'!M17+'3 Cascade Int'!M17+'4 Sunset Highway'!M17</f>
        <v>0</v>
      </c>
      <c r="N19" s="28">
        <f>'1 North Wenatchee Ave'!N17+'2 Confluence Parkway'!N17+'3 Cascade Int'!N17+'4 Sunset Highway'!N17</f>
        <v>0</v>
      </c>
      <c r="O19" s="28">
        <f>'1 North Wenatchee Ave'!O17+'2 Confluence Parkway'!O17+'3 Cascade Int'!O17+'4 Sunset Highway'!O17</f>
        <v>0</v>
      </c>
      <c r="P19" s="28">
        <f>'1 North Wenatchee Ave'!P17+'2 Confluence Parkway'!P17+'3 Cascade Int'!P17+'4 Sunset Highway'!P17</f>
        <v>0</v>
      </c>
      <c r="Q19" s="41">
        <f>'1 North Wenatchee Ave'!Q17+'2 Confluence Parkway'!Q17+'3 Cascade Int'!Q17+'4 Sunset Highway'!Q17</f>
        <v>0</v>
      </c>
      <c r="R19" s="29">
        <f t="shared" si="0"/>
        <v>3059000</v>
      </c>
    </row>
    <row r="20" spans="1:18" x14ac:dyDescent="0.25">
      <c r="A20" s="3"/>
      <c r="B20" s="3"/>
      <c r="C20" s="3"/>
      <c r="D20" s="9"/>
      <c r="E20" s="126"/>
      <c r="F20" s="97"/>
      <c r="G20" s="28"/>
      <c r="H20" s="28"/>
      <c r="I20" s="28"/>
      <c r="J20" s="41"/>
      <c r="K20" s="8"/>
      <c r="L20" s="8"/>
      <c r="M20" s="8"/>
      <c r="N20" s="8"/>
      <c r="O20" s="8"/>
      <c r="P20" s="8"/>
      <c r="Q20" s="8"/>
      <c r="R20" s="29">
        <f t="shared" si="0"/>
        <v>0</v>
      </c>
    </row>
    <row r="21" spans="1:18" x14ac:dyDescent="0.25">
      <c r="A21" s="3"/>
      <c r="B21" s="3" t="s">
        <v>19</v>
      </c>
      <c r="C21" s="3"/>
      <c r="D21" s="7">
        <f>SUM(D14:D20)</f>
        <v>13500000</v>
      </c>
      <c r="E21" s="108">
        <f>SUM(E14:E20)</f>
        <v>17369063.064750001</v>
      </c>
      <c r="F21" s="96">
        <f>SUM(F14:F20)</f>
        <v>1108174.4489000002</v>
      </c>
      <c r="G21" s="68">
        <f>SUM(G14:G20)</f>
        <v>1338309.2649999999</v>
      </c>
      <c r="H21" s="68">
        <f t="shared" ref="H21:Q21" si="1">SUM(H14:H20)</f>
        <v>587933.90944999992</v>
      </c>
      <c r="I21" s="68">
        <f t="shared" si="1"/>
        <v>1203593.2514</v>
      </c>
      <c r="J21" s="69">
        <f t="shared" si="1"/>
        <v>2690052.19</v>
      </c>
      <c r="K21" s="68">
        <f t="shared" si="1"/>
        <v>4000000</v>
      </c>
      <c r="L21" s="68">
        <f t="shared" si="1"/>
        <v>8500000</v>
      </c>
      <c r="M21" s="68">
        <f t="shared" si="1"/>
        <v>0</v>
      </c>
      <c r="N21" s="68">
        <f t="shared" si="1"/>
        <v>1000000</v>
      </c>
      <c r="O21" s="68">
        <f t="shared" si="1"/>
        <v>0</v>
      </c>
      <c r="P21" s="68">
        <f t="shared" si="1"/>
        <v>0</v>
      </c>
      <c r="Q21" s="69">
        <f t="shared" si="1"/>
        <v>0</v>
      </c>
      <c r="R21" s="29">
        <f t="shared" si="0"/>
        <v>19319888.615850002</v>
      </c>
    </row>
    <row r="22" spans="1:18" x14ac:dyDescent="0.25">
      <c r="A22" s="3" t="s">
        <v>4</v>
      </c>
      <c r="B22" s="3"/>
      <c r="C22" s="3"/>
      <c r="D22" s="7"/>
      <c r="E22" s="108"/>
      <c r="F22" s="96"/>
      <c r="G22" s="28"/>
      <c r="H22" s="28"/>
      <c r="I22" s="28"/>
      <c r="J22" s="41"/>
      <c r="K22" s="8"/>
      <c r="L22" s="8"/>
      <c r="M22" s="8"/>
      <c r="N22" s="8"/>
      <c r="O22" s="8"/>
      <c r="P22" s="8"/>
      <c r="Q22" s="8"/>
      <c r="R22" s="29">
        <f t="shared" si="0"/>
        <v>0</v>
      </c>
    </row>
    <row r="23" spans="1:18" x14ac:dyDescent="0.25">
      <c r="A23" s="3"/>
      <c r="B23" s="3"/>
      <c r="C23" s="3" t="s">
        <v>10</v>
      </c>
      <c r="D23" s="7">
        <f>'1 North Wenatchee Ave'!D21+'2 Confluence Parkway'!D21+'3 Cascade Int'!D21+'4 Sunset Highway'!D21</f>
        <v>0</v>
      </c>
      <c r="E23" s="108"/>
      <c r="F23" s="96">
        <f>'1 North Wenatchee Ave'!F21+'2 Confluence Parkway'!F21+'3 Cascade Int'!F21+'4 Sunset Highway'!F21</f>
        <v>0</v>
      </c>
      <c r="G23" s="28">
        <f>'1 North Wenatchee Ave'!G21+'2 Confluence Parkway'!G21+'3 Cascade Int'!G21+'4 Sunset Highway'!G21</f>
        <v>0</v>
      </c>
      <c r="H23" s="28">
        <f>'1 North Wenatchee Ave'!H21+'2 Confluence Parkway'!H21+'3 Cascade Int'!H21+'4 Sunset Highway'!H21</f>
        <v>0</v>
      </c>
      <c r="I23" s="28">
        <f>'1 North Wenatchee Ave'!I21+'2 Confluence Parkway'!I21+'3 Cascade Int'!I21+'4 Sunset Highway'!I21</f>
        <v>0</v>
      </c>
      <c r="J23" s="41">
        <f>'1 North Wenatchee Ave'!J21+'2 Confluence Parkway'!J21+'3 Cascade Int'!J21+'4 Sunset Highway'!J21</f>
        <v>0</v>
      </c>
      <c r="K23" s="28">
        <f>'1 North Wenatchee Ave'!K21+'2 Confluence Parkway'!K21+'3 Cascade Int'!K21+'4 Sunset Highway'!K21</f>
        <v>0</v>
      </c>
      <c r="L23" s="28">
        <f>'1 North Wenatchee Ave'!L21+'2 Confluence Parkway'!L21+'3 Cascade Int'!L21+'4 Sunset Highway'!L21</f>
        <v>0</v>
      </c>
      <c r="M23" s="28">
        <f>'1 North Wenatchee Ave'!M21+'2 Confluence Parkway'!M21+'3 Cascade Int'!M21+'4 Sunset Highway'!M21</f>
        <v>0</v>
      </c>
      <c r="N23" s="28">
        <f>'1 North Wenatchee Ave'!N21+'2 Confluence Parkway'!N21+'3 Cascade Int'!N21+'4 Sunset Highway'!N21</f>
        <v>0</v>
      </c>
      <c r="O23" s="28">
        <f>'1 North Wenatchee Ave'!O21+'2 Confluence Parkway'!O21+'3 Cascade Int'!O21+'4 Sunset Highway'!O21</f>
        <v>0</v>
      </c>
      <c r="P23" s="28">
        <f>'1 North Wenatchee Ave'!P21+'2 Confluence Parkway'!P21+'3 Cascade Int'!P21+'4 Sunset Highway'!P21</f>
        <v>0</v>
      </c>
      <c r="Q23" s="41">
        <f>'1 North Wenatchee Ave'!Q21+'2 Confluence Parkway'!Q21+'3 Cascade Int'!Q21+'4 Sunset Highway'!Q21</f>
        <v>0</v>
      </c>
      <c r="R23" s="29">
        <f t="shared" si="0"/>
        <v>0</v>
      </c>
    </row>
    <row r="24" spans="1:18" hidden="1" x14ac:dyDescent="0.25">
      <c r="A24" s="3"/>
      <c r="B24" s="3"/>
      <c r="C24" s="3" t="s">
        <v>9</v>
      </c>
      <c r="D24" s="7">
        <f>'1 North Wenatchee Ave'!D22+'2 Confluence Parkway'!D22+'3 Cascade Int'!D22+'4 Sunset Highway'!D22</f>
        <v>0</v>
      </c>
      <c r="E24" s="108"/>
      <c r="F24" s="96">
        <f>'1 North Wenatchee Ave'!F22+'2 Confluence Parkway'!F22+'3 Cascade Int'!F22+'4 Sunset Highway'!F22</f>
        <v>0</v>
      </c>
      <c r="G24" s="28">
        <f>'1 North Wenatchee Ave'!G22+'2 Confluence Parkway'!G22+'3 Cascade Int'!G22+'4 Sunset Highway'!G22</f>
        <v>0</v>
      </c>
      <c r="H24" s="28">
        <f>'1 North Wenatchee Ave'!H22+'2 Confluence Parkway'!H22+'3 Cascade Int'!H22+'4 Sunset Highway'!H22</f>
        <v>0</v>
      </c>
      <c r="I24" s="28">
        <f>'1 North Wenatchee Ave'!I22+'2 Confluence Parkway'!I22+'3 Cascade Int'!I22+'4 Sunset Highway'!I22</f>
        <v>0</v>
      </c>
      <c r="J24" s="41">
        <f>'1 North Wenatchee Ave'!J22+'2 Confluence Parkway'!J22+'3 Cascade Int'!J22+'4 Sunset Highway'!J22</f>
        <v>0</v>
      </c>
      <c r="K24" s="28">
        <f>'1 North Wenatchee Ave'!K22+'2 Confluence Parkway'!K22+'3 Cascade Int'!K22+'4 Sunset Highway'!K22</f>
        <v>0</v>
      </c>
      <c r="L24" s="28">
        <f>'1 North Wenatchee Ave'!L22+'2 Confluence Parkway'!L22+'3 Cascade Int'!L22+'4 Sunset Highway'!L22</f>
        <v>0</v>
      </c>
      <c r="M24" s="28">
        <f>'1 North Wenatchee Ave'!M22+'2 Confluence Parkway'!M22+'3 Cascade Int'!M22+'4 Sunset Highway'!M22</f>
        <v>0</v>
      </c>
      <c r="N24" s="28">
        <f>'1 North Wenatchee Ave'!N22+'2 Confluence Parkway'!N22+'3 Cascade Int'!N22+'4 Sunset Highway'!N22</f>
        <v>0</v>
      </c>
      <c r="O24" s="28">
        <f>'1 North Wenatchee Ave'!O22+'2 Confluence Parkway'!O22+'3 Cascade Int'!O22+'4 Sunset Highway'!O22</f>
        <v>0</v>
      </c>
      <c r="P24" s="28">
        <f>'1 North Wenatchee Ave'!P22+'2 Confluence Parkway'!P22+'3 Cascade Int'!P22+'4 Sunset Highway'!P22</f>
        <v>0</v>
      </c>
      <c r="Q24" s="41">
        <f>'1 North Wenatchee Ave'!Q22+'2 Confluence Parkway'!Q22+'3 Cascade Int'!Q22+'4 Sunset Highway'!Q22</f>
        <v>0</v>
      </c>
      <c r="R24" s="29">
        <f t="shared" si="0"/>
        <v>0</v>
      </c>
    </row>
    <row r="25" spans="1:18" x14ac:dyDescent="0.25">
      <c r="A25" s="3"/>
      <c r="B25" s="3"/>
      <c r="C25" s="3" t="s">
        <v>101</v>
      </c>
      <c r="D25" s="7">
        <f>'1 North Wenatchee Ave'!D23+'2 Confluence Parkway'!D23+'3 Cascade Int'!D23+'4 Sunset Highway'!D23</f>
        <v>31924200</v>
      </c>
      <c r="E25" s="108">
        <f>'1 North Wenatchee Ave'!E23+'2 Confluence Parkway'!E23+'3 Cascade Int'!E23+'4 Sunset Highway'!E23</f>
        <v>31924200</v>
      </c>
      <c r="F25" s="96">
        <f>'1 North Wenatchee Ave'!F23+'2 Confluence Parkway'!F23+'3 Cascade Int'!F23+'4 Sunset Highway'!F23</f>
        <v>0</v>
      </c>
      <c r="G25" s="28">
        <f>'1 North Wenatchee Ave'!G23+'2 Confluence Parkway'!G23+'3 Cascade Int'!G23+'4 Sunset Highway'!G23</f>
        <v>0</v>
      </c>
      <c r="H25" s="28">
        <f>'1 North Wenatchee Ave'!H23+'2 Confluence Parkway'!H23+'3 Cascade Int'!H23+'4 Sunset Highway'!H23</f>
        <v>0</v>
      </c>
      <c r="I25" s="28">
        <f>'1 North Wenatchee Ave'!I23+'2 Confluence Parkway'!I23+'3 Cascade Int'!I23+'4 Sunset Highway'!I23</f>
        <v>0</v>
      </c>
      <c r="J25" s="41">
        <f>'1 North Wenatchee Ave'!J23+'2 Confluence Parkway'!J23+'3 Cascade Int'!J23+'4 Sunset Highway'!J23</f>
        <v>0</v>
      </c>
      <c r="K25" s="28">
        <f>'1 North Wenatchee Ave'!K23+'2 Confluence Parkway'!K23+'3 Cascade Int'!K23+'4 Sunset Highway'!K23</f>
        <v>0</v>
      </c>
      <c r="L25" s="28">
        <f>'1 North Wenatchee Ave'!L23+'2 Confluence Parkway'!L23+'3 Cascade Int'!L23+'4 Sunset Highway'!L23</f>
        <v>546000</v>
      </c>
      <c r="M25" s="28">
        <f>'1 North Wenatchee Ave'!M23+'2 Confluence Parkway'!M23+'3 Cascade Int'!M23+'4 Sunset Highway'!M23</f>
        <v>10400000</v>
      </c>
      <c r="N25" s="28">
        <f>'1 North Wenatchee Ave'!N23+'2 Confluence Parkway'!N23+'3 Cascade Int'!N23+'4 Sunset Highway'!N23</f>
        <v>20978200</v>
      </c>
      <c r="O25" s="28">
        <f>'1 North Wenatchee Ave'!O23+'2 Confluence Parkway'!O23+'3 Cascade Int'!O23+'4 Sunset Highway'!O23</f>
        <v>0</v>
      </c>
      <c r="P25" s="28">
        <f>'1 North Wenatchee Ave'!P23+'2 Confluence Parkway'!P23+'3 Cascade Int'!P23+'4 Sunset Highway'!P23</f>
        <v>0</v>
      </c>
      <c r="Q25" s="41">
        <f>'1 North Wenatchee Ave'!Q23+'2 Confluence Parkway'!Q23+'3 Cascade Int'!Q23+'4 Sunset Highway'!Q23</f>
        <v>0</v>
      </c>
      <c r="R25" s="29">
        <f>SUM(G25:Q25)</f>
        <v>31924200</v>
      </c>
    </row>
    <row r="26" spans="1:18" x14ac:dyDescent="0.25">
      <c r="A26" s="3"/>
      <c r="B26" s="3"/>
      <c r="C26" s="3" t="s">
        <v>35</v>
      </c>
      <c r="D26" s="7">
        <f>'1 North Wenatchee Ave'!D24+'2 Confluence Parkway'!D24+'3 Cascade Int'!D24+'4 Sunset Highway'!D24</f>
        <v>55857089</v>
      </c>
      <c r="E26" s="108">
        <f>'1 North Wenatchee Ave'!E24+'2 Confluence Parkway'!E24+'3 Cascade Int'!E24+'4 Sunset Highway'!E24</f>
        <v>58522010</v>
      </c>
      <c r="F26" s="96">
        <f>'1 North Wenatchee Ave'!F24+'2 Confluence Parkway'!F24+'3 Cascade Int'!F24+'4 Sunset Highway'!F24</f>
        <v>19794</v>
      </c>
      <c r="G26" s="28">
        <f>'1 North Wenatchee Ave'!G24+'2 Confluence Parkway'!G24+'3 Cascade Int'!G24+'4 Sunset Highway'!G24</f>
        <v>3243</v>
      </c>
      <c r="H26" s="28">
        <f>'1 North Wenatchee Ave'!H24+'2 Confluence Parkway'!H24+'3 Cascade Int'!H24+'4 Sunset Highway'!H24</f>
        <v>308122</v>
      </c>
      <c r="I26" s="28">
        <f>'1 North Wenatchee Ave'!I24+'2 Confluence Parkway'!I24+'3 Cascade Int'!I24+'4 Sunset Highway'!I24</f>
        <v>2333762</v>
      </c>
      <c r="J26" s="41">
        <f>'1 North Wenatchee Ave'!J24+'2 Confluence Parkway'!J24+'3 Cascade Int'!J24+'4 Sunset Highway'!J24</f>
        <v>6083766</v>
      </c>
      <c r="K26" s="28">
        <f>'1 North Wenatchee Ave'!K24+'2 Confluence Parkway'!K24+'3 Cascade Int'!K24+'4 Sunset Highway'!K24</f>
        <v>9333764</v>
      </c>
      <c r="L26" s="28">
        <f>'1 North Wenatchee Ave'!L24+'2 Confluence Parkway'!L24+'3 Cascade Int'!L24+'4 Sunset Highway'!L24</f>
        <v>6333764</v>
      </c>
      <c r="M26" s="28">
        <f>'1 North Wenatchee Ave'!M24+'2 Confluence Parkway'!M24+'3 Cascade Int'!M24+'4 Sunset Highway'!M24</f>
        <v>7705795</v>
      </c>
      <c r="N26" s="28">
        <f>'1 North Wenatchee Ave'!N24+'2 Confluence Parkway'!N24+'3 Cascade Int'!N24+'4 Sunset Highway'!N24</f>
        <v>11400000</v>
      </c>
      <c r="O26" s="28">
        <f>'1 North Wenatchee Ave'!O24+'2 Confluence Parkway'!O24+'3 Cascade Int'!O24+'4 Sunset Highway'!O24</f>
        <v>10000000</v>
      </c>
      <c r="P26" s="28">
        <f>'1 North Wenatchee Ave'!P24+'2 Confluence Parkway'!P24+'3 Cascade Int'!P24+'4 Sunset Highway'!P24</f>
        <v>5000000</v>
      </c>
      <c r="Q26" s="41">
        <f>'1 North Wenatchee Ave'!Q24+'2 Confluence Parkway'!Q24+'3 Cascade Int'!Q24+'4 Sunset Highway'!Q24</f>
        <v>0</v>
      </c>
      <c r="R26" s="29">
        <f t="shared" si="0"/>
        <v>58502216</v>
      </c>
    </row>
    <row r="27" spans="1:18" x14ac:dyDescent="0.25">
      <c r="A27" s="3"/>
      <c r="B27" s="3"/>
      <c r="C27" s="3" t="s">
        <v>36</v>
      </c>
      <c r="D27" s="7">
        <f>'1 North Wenatchee Ave'!D25+'2 Confluence Parkway'!D25+'3 Cascade Int'!D25+'4 Sunset Highway'!D25</f>
        <v>21140693</v>
      </c>
      <c r="E27" s="108">
        <f>'1 North Wenatchee Ave'!E25+'2 Confluence Parkway'!E25+'3 Cascade Int'!E25+'4 Sunset Highway'!E25</f>
        <v>23000001</v>
      </c>
      <c r="F27" s="96">
        <f>'1 North Wenatchee Ave'!F25+'2 Confluence Parkway'!F25+'3 Cascade Int'!F25+'4 Sunset Highway'!F25</f>
        <v>0</v>
      </c>
      <c r="G27" s="28">
        <f>'1 North Wenatchee Ave'!G25+'2 Confluence Parkway'!G25+'3 Cascade Int'!G25+'4 Sunset Highway'!G25</f>
        <v>163576</v>
      </c>
      <c r="H27" s="28">
        <f>'1 North Wenatchee Ave'!H25+'2 Confluence Parkway'!H25+'3 Cascade Int'!H25+'4 Sunset Highway'!H25</f>
        <v>171700</v>
      </c>
      <c r="I27" s="28">
        <f>'1 North Wenatchee Ave'!I25+'2 Confluence Parkway'!I25+'3 Cascade Int'!I25+'4 Sunset Highway'!I25</f>
        <v>667099</v>
      </c>
      <c r="J27" s="41">
        <f>'1 North Wenatchee Ave'!J25+'2 Confluence Parkway'!J25+'3 Cascade Int'!J25+'4 Sunset Highway'!J25</f>
        <v>856933</v>
      </c>
      <c r="K27" s="28">
        <f>'1 North Wenatchee Ave'!K25+'2 Confluence Parkway'!K25+'3 Cascade Int'!K25+'4 Sunset Highway'!K25</f>
        <v>896216</v>
      </c>
      <c r="L27" s="28">
        <f>'1 North Wenatchee Ave'!L25+'2 Confluence Parkway'!L25+'3 Cascade Int'!L25+'4 Sunset Highway'!L25</f>
        <v>7543950</v>
      </c>
      <c r="M27" s="28">
        <f>'1 North Wenatchee Ave'!M25+'2 Confluence Parkway'!M25+'3 Cascade Int'!M25+'4 Sunset Highway'!M25</f>
        <v>7510817</v>
      </c>
      <c r="N27" s="28">
        <f>'1 North Wenatchee Ave'!N25+'2 Confluence Parkway'!N25+'3 Cascade Int'!N25+'4 Sunset Highway'!N25</f>
        <v>3732152</v>
      </c>
      <c r="O27" s="28">
        <f>'1 North Wenatchee Ave'!O25+'2 Confluence Parkway'!O25+'3 Cascade Int'!O25+'4 Sunset Highway'!O25</f>
        <v>1084884</v>
      </c>
      <c r="P27" s="28">
        <f>'1 North Wenatchee Ave'!P25+'2 Confluence Parkway'!P25+'3 Cascade Int'!P25+'4 Sunset Highway'!P25</f>
        <v>372674</v>
      </c>
      <c r="Q27" s="41">
        <f>'1 North Wenatchee Ave'!Q25+'2 Confluence Parkway'!Q25+'3 Cascade Int'!Q25+'4 Sunset Highway'!Q25</f>
        <v>0</v>
      </c>
      <c r="R27" s="29">
        <f t="shared" si="0"/>
        <v>23000001</v>
      </c>
    </row>
    <row r="28" spans="1:18" x14ac:dyDescent="0.25">
      <c r="A28" s="3"/>
      <c r="B28" s="3"/>
      <c r="C28" s="3" t="s">
        <v>38</v>
      </c>
      <c r="D28" s="7">
        <f>'1 North Wenatchee Ave'!D26+'2 Confluence Parkway'!D26+'3 Cascade Int'!D26+'4 Sunset Highway'!D26</f>
        <v>0</v>
      </c>
      <c r="E28" s="108">
        <f>'1 North Wenatchee Ave'!E26+'2 Confluence Parkway'!E26+'3 Cascade Int'!E26+'4 Sunset Highway'!E26</f>
        <v>138000</v>
      </c>
      <c r="F28" s="96">
        <f>'1 North Wenatchee Ave'!F26+'2 Confluence Parkway'!F26+'3 Cascade Int'!F26+'4 Sunset Highway'!F26</f>
        <v>25000</v>
      </c>
      <c r="G28" s="28">
        <f>'1 North Wenatchee Ave'!G26+'2 Confluence Parkway'!G26+'3 Cascade Int'!G26+'4 Sunset Highway'!G26</f>
        <v>113000</v>
      </c>
      <c r="H28" s="28">
        <f>'1 North Wenatchee Ave'!H26+'2 Confluence Parkway'!H26+'3 Cascade Int'!H26+'4 Sunset Highway'!H26</f>
        <v>0</v>
      </c>
      <c r="I28" s="28">
        <f>'1 North Wenatchee Ave'!I26+'2 Confluence Parkway'!I26+'3 Cascade Int'!I26+'4 Sunset Highway'!I26</f>
        <v>0</v>
      </c>
      <c r="J28" s="41">
        <f>'1 North Wenatchee Ave'!J26+'2 Confluence Parkway'!J26+'3 Cascade Int'!J26+'4 Sunset Highway'!J26</f>
        <v>0</v>
      </c>
      <c r="K28" s="28">
        <f>'1 North Wenatchee Ave'!K26+'2 Confluence Parkway'!K26+'3 Cascade Int'!K26+'4 Sunset Highway'!K26</f>
        <v>0</v>
      </c>
      <c r="L28" s="28">
        <f>'1 North Wenatchee Ave'!L26+'2 Confluence Parkway'!L26+'3 Cascade Int'!L26+'4 Sunset Highway'!L26</f>
        <v>0</v>
      </c>
      <c r="M28" s="28">
        <f>'1 North Wenatchee Ave'!M26+'2 Confluence Parkway'!M26+'3 Cascade Int'!M26+'4 Sunset Highway'!M26</f>
        <v>0</v>
      </c>
      <c r="N28" s="28">
        <f>'1 North Wenatchee Ave'!N26+'2 Confluence Parkway'!N26+'3 Cascade Int'!N26+'4 Sunset Highway'!N26</f>
        <v>0</v>
      </c>
      <c r="O28" s="28">
        <f>'1 North Wenatchee Ave'!O26+'2 Confluence Parkway'!O26+'3 Cascade Int'!O26+'4 Sunset Highway'!O26</f>
        <v>0</v>
      </c>
      <c r="P28" s="28">
        <f>'1 North Wenatchee Ave'!P26+'2 Confluence Parkway'!P26+'3 Cascade Int'!P26+'4 Sunset Highway'!P26</f>
        <v>0</v>
      </c>
      <c r="Q28" s="41">
        <f>'1 North Wenatchee Ave'!Q26+'2 Confluence Parkway'!Q26+'3 Cascade Int'!Q26+'4 Sunset Highway'!Q26</f>
        <v>0</v>
      </c>
      <c r="R28" s="29">
        <f t="shared" si="0"/>
        <v>113000</v>
      </c>
    </row>
    <row r="29" spans="1:18" hidden="1" x14ac:dyDescent="0.25">
      <c r="A29" s="3"/>
      <c r="B29" s="3"/>
      <c r="C29" s="3" t="s">
        <v>11</v>
      </c>
      <c r="D29" s="7">
        <f>'1 North Wenatchee Ave'!D27+'2 Confluence Parkway'!D27+'3 Cascade Int'!D27+'4 Sunset Highway'!D27</f>
        <v>0</v>
      </c>
      <c r="E29" s="108">
        <f>'1 North Wenatchee Ave'!E27+'2 Confluence Parkway'!E27+'3 Cascade Int'!E27+'4 Sunset Highway'!E27</f>
        <v>0</v>
      </c>
      <c r="F29" s="96">
        <f>'1 North Wenatchee Ave'!F27+'2 Confluence Parkway'!F27+'3 Cascade Int'!F27+'4 Sunset Highway'!F27</f>
        <v>0</v>
      </c>
      <c r="G29" s="28">
        <f>'1 North Wenatchee Ave'!G27+'2 Confluence Parkway'!G27+'3 Cascade Int'!G27+'4 Sunset Highway'!G27</f>
        <v>0</v>
      </c>
      <c r="H29" s="28">
        <f>'1 North Wenatchee Ave'!H27+'2 Confluence Parkway'!H27+'3 Cascade Int'!H27+'4 Sunset Highway'!H27</f>
        <v>0</v>
      </c>
      <c r="I29" s="28">
        <f>'1 North Wenatchee Ave'!I27+'2 Confluence Parkway'!I27+'3 Cascade Int'!I27+'4 Sunset Highway'!I27</f>
        <v>0</v>
      </c>
      <c r="J29" s="41">
        <f>'1 North Wenatchee Ave'!J27+'2 Confluence Parkway'!J27+'3 Cascade Int'!J27+'4 Sunset Highway'!J27</f>
        <v>0</v>
      </c>
      <c r="K29" s="28">
        <f>'1 North Wenatchee Ave'!K27+'2 Confluence Parkway'!K27+'3 Cascade Int'!K27+'4 Sunset Highway'!K27</f>
        <v>0</v>
      </c>
      <c r="L29" s="28">
        <f>'1 North Wenatchee Ave'!L27+'2 Confluence Parkway'!L27+'3 Cascade Int'!L27+'4 Sunset Highway'!L27</f>
        <v>0</v>
      </c>
      <c r="M29" s="28">
        <f>'1 North Wenatchee Ave'!M27+'2 Confluence Parkway'!M27+'3 Cascade Int'!M27+'4 Sunset Highway'!M27</f>
        <v>0</v>
      </c>
      <c r="N29" s="28">
        <f>'1 North Wenatchee Ave'!N27+'2 Confluence Parkway'!N27+'3 Cascade Int'!N27+'4 Sunset Highway'!N27</f>
        <v>0</v>
      </c>
      <c r="O29" s="28">
        <f>'1 North Wenatchee Ave'!O27+'2 Confluence Parkway'!O27+'3 Cascade Int'!O27+'4 Sunset Highway'!O27</f>
        <v>0</v>
      </c>
      <c r="P29" s="28">
        <f>'1 North Wenatchee Ave'!P27+'2 Confluence Parkway'!P27+'3 Cascade Int'!P27+'4 Sunset Highway'!P27</f>
        <v>0</v>
      </c>
      <c r="Q29" s="41">
        <f>'1 North Wenatchee Ave'!Q27+'2 Confluence Parkway'!Q27+'3 Cascade Int'!Q27+'4 Sunset Highway'!Q27</f>
        <v>0</v>
      </c>
      <c r="R29" s="29">
        <f t="shared" si="0"/>
        <v>0</v>
      </c>
    </row>
    <row r="30" spans="1:18" x14ac:dyDescent="0.25">
      <c r="A30" s="3"/>
      <c r="B30" s="3"/>
      <c r="C30" s="3" t="s">
        <v>71</v>
      </c>
      <c r="D30" s="7">
        <f>'1 North Wenatchee Ave'!D28+'2 Confluence Parkway'!D28+'3 Cascade Int'!D28+'4 Sunset Highway'!D28</f>
        <v>0</v>
      </c>
      <c r="E30" s="108">
        <f>'1 North Wenatchee Ave'!E28+'2 Confluence Parkway'!E28+'3 Cascade Int'!E28+'4 Sunset Highway'!E28</f>
        <v>8613296</v>
      </c>
      <c r="F30" s="96">
        <f>'1 North Wenatchee Ave'!F28+'2 Confluence Parkway'!F28+'3 Cascade Int'!F28+'4 Sunset Highway'!F28</f>
        <v>7600000</v>
      </c>
      <c r="G30" s="28">
        <f>'1 North Wenatchee Ave'!G28+'2 Confluence Parkway'!G28+'3 Cascade Int'!G28+'4 Sunset Highway'!G28</f>
        <v>139257</v>
      </c>
      <c r="H30" s="28">
        <f>'1 North Wenatchee Ave'!H28+'2 Confluence Parkway'!H28+'3 Cascade Int'!H28+'4 Sunset Highway'!H28</f>
        <v>874039</v>
      </c>
      <c r="I30" s="28">
        <f>'1 North Wenatchee Ave'!I28+'2 Confluence Parkway'!I28+'3 Cascade Int'!I28+'4 Sunset Highway'!I28</f>
        <v>0</v>
      </c>
      <c r="J30" s="41">
        <f>'1 North Wenatchee Ave'!J28+'2 Confluence Parkway'!J28+'3 Cascade Int'!J28+'4 Sunset Highway'!J28</f>
        <v>0</v>
      </c>
      <c r="K30" s="28">
        <f>'1 North Wenatchee Ave'!K28+'2 Confluence Parkway'!K28+'3 Cascade Int'!K28+'4 Sunset Highway'!K28</f>
        <v>0</v>
      </c>
      <c r="L30" s="28">
        <f>'1 North Wenatchee Ave'!L28+'2 Confluence Parkway'!L28+'3 Cascade Int'!L28+'4 Sunset Highway'!L28</f>
        <v>0</v>
      </c>
      <c r="M30" s="28">
        <f>'1 North Wenatchee Ave'!M28+'2 Confluence Parkway'!M28+'3 Cascade Int'!M28+'4 Sunset Highway'!M28</f>
        <v>0</v>
      </c>
      <c r="N30" s="28">
        <f>'1 North Wenatchee Ave'!N28+'2 Confluence Parkway'!N28+'3 Cascade Int'!N28+'4 Sunset Highway'!N28</f>
        <v>0</v>
      </c>
      <c r="O30" s="28">
        <f>'1 North Wenatchee Ave'!O28+'2 Confluence Parkway'!O28+'3 Cascade Int'!O28+'4 Sunset Highway'!O28</f>
        <v>0</v>
      </c>
      <c r="P30" s="28">
        <f>'1 North Wenatchee Ave'!P28+'2 Confluence Parkway'!P28+'3 Cascade Int'!P28+'4 Sunset Highway'!P28</f>
        <v>0</v>
      </c>
      <c r="Q30" s="41">
        <f>'1 North Wenatchee Ave'!Q28+'2 Confluence Parkway'!Q28+'3 Cascade Int'!Q28+'4 Sunset Highway'!Q28</f>
        <v>0</v>
      </c>
      <c r="R30" s="29">
        <f t="shared" si="0"/>
        <v>1013296</v>
      </c>
    </row>
    <row r="31" spans="1:18" x14ac:dyDescent="0.25">
      <c r="A31" s="3"/>
      <c r="B31" s="3"/>
      <c r="C31" s="3"/>
      <c r="D31" s="9"/>
      <c r="E31" s="126"/>
      <c r="F31" s="97"/>
      <c r="G31" s="63"/>
      <c r="H31" s="63"/>
      <c r="I31" s="63"/>
      <c r="J31" s="64"/>
      <c r="K31" s="63"/>
      <c r="L31" s="63"/>
      <c r="M31" s="63"/>
      <c r="N31" s="63"/>
      <c r="O31" s="63"/>
      <c r="P31" s="63"/>
      <c r="Q31" s="64"/>
      <c r="R31" s="29">
        <f t="shared" si="0"/>
        <v>0</v>
      </c>
    </row>
    <row r="32" spans="1:18" x14ac:dyDescent="0.25">
      <c r="A32" s="3"/>
      <c r="B32" s="3" t="s">
        <v>17</v>
      </c>
      <c r="C32" s="3"/>
      <c r="D32" s="7">
        <f>SUM(D23:D31)</f>
        <v>108921982</v>
      </c>
      <c r="E32" s="108">
        <f>SUM(E23:E31)</f>
        <v>122197507</v>
      </c>
      <c r="F32" s="96">
        <f>SUM(F23:F31)</f>
        <v>7644794</v>
      </c>
      <c r="G32" s="28">
        <f>SUM(G23:G31)</f>
        <v>419076</v>
      </c>
      <c r="H32" s="28">
        <f t="shared" ref="H32:Q32" si="2">SUM(H23:H31)</f>
        <v>1353861</v>
      </c>
      <c r="I32" s="28">
        <f t="shared" si="2"/>
        <v>3000861</v>
      </c>
      <c r="J32" s="41">
        <f t="shared" si="2"/>
        <v>6940699</v>
      </c>
      <c r="K32" s="28">
        <f t="shared" si="2"/>
        <v>10229980</v>
      </c>
      <c r="L32" s="28">
        <f t="shared" si="2"/>
        <v>14423714</v>
      </c>
      <c r="M32" s="28">
        <f t="shared" si="2"/>
        <v>25616612</v>
      </c>
      <c r="N32" s="28">
        <f t="shared" si="2"/>
        <v>36110352</v>
      </c>
      <c r="O32" s="28">
        <f t="shared" si="2"/>
        <v>11084884</v>
      </c>
      <c r="P32" s="28">
        <f t="shared" si="2"/>
        <v>5372674</v>
      </c>
      <c r="Q32" s="41">
        <f t="shared" si="2"/>
        <v>0</v>
      </c>
      <c r="R32" s="29">
        <f t="shared" si="0"/>
        <v>114552713</v>
      </c>
    </row>
    <row r="33" spans="1:18" x14ac:dyDescent="0.25">
      <c r="A33" s="3" t="s">
        <v>13</v>
      </c>
      <c r="B33" s="3"/>
      <c r="C33" s="3"/>
      <c r="D33" s="7"/>
      <c r="E33" s="108"/>
      <c r="F33" s="96"/>
      <c r="G33" s="28"/>
      <c r="H33" s="28"/>
      <c r="I33" s="28"/>
      <c r="J33" s="41"/>
      <c r="K33" s="8"/>
      <c r="L33" s="8"/>
      <c r="M33" s="8"/>
      <c r="N33" s="8"/>
      <c r="O33" s="8"/>
      <c r="P33" s="8"/>
      <c r="Q33" s="8"/>
      <c r="R33" s="29">
        <f t="shared" si="0"/>
        <v>0</v>
      </c>
    </row>
    <row r="34" spans="1:18" x14ac:dyDescent="0.25">
      <c r="A34" s="3"/>
      <c r="B34" s="3"/>
      <c r="C34" s="3" t="s">
        <v>14</v>
      </c>
      <c r="D34" s="7">
        <f>'1 North Wenatchee Ave'!D32+'2 Confluence Parkway'!D32+'3 Cascade Int'!D32+'4 Sunset Highway'!D32</f>
        <v>0</v>
      </c>
      <c r="E34" s="108">
        <f>'1 North Wenatchee Ave'!E32+'2 Confluence Parkway'!E32+'3 Cascade Int'!E32+'4 Sunset Highway'!E32</f>
        <v>3225386.7852500002</v>
      </c>
      <c r="F34" s="96">
        <f>'1 North Wenatchee Ave'!F32+'2 Confluence Parkway'!F32+'3 Cascade Int'!F32+'4 Sunset Highway'!F32</f>
        <v>171112.69110000003</v>
      </c>
      <c r="G34" s="28">
        <f>'1 North Wenatchee Ave'!G32+'2 Confluence Parkway'!G32+'3 Cascade Int'!G32+'4 Sunset Highway'!G32</f>
        <v>63178.735000000001</v>
      </c>
      <c r="H34" s="28">
        <f>'1 North Wenatchee Ave'!H32+'2 Confluence Parkway'!H32+'3 Cascade Int'!H32+'4 Sunset Highway'!H32</f>
        <v>657867.16054999991</v>
      </c>
      <c r="I34" s="28">
        <f>'1 North Wenatchee Ave'!I32+'2 Confluence Parkway'!I32+'3 Cascade Int'!I32+'4 Sunset Highway'!I32</f>
        <v>1115486.3886000002</v>
      </c>
      <c r="J34" s="41">
        <f>'1 North Wenatchee Ave'!J32+'2 Confluence Parkway'!J32+'3 Cascade Int'!J32+'4 Sunset Highway'!J32</f>
        <v>1217741.81</v>
      </c>
      <c r="K34" s="28">
        <f>'1 North Wenatchee Ave'!K32+'2 Confluence Parkway'!K32+'3 Cascade Int'!K32+'4 Sunset Highway'!K32</f>
        <v>0</v>
      </c>
      <c r="L34" s="28">
        <f>'1 North Wenatchee Ave'!L32+'2 Confluence Parkway'!L32+'3 Cascade Int'!L32+'4 Sunset Highway'!L32</f>
        <v>0</v>
      </c>
      <c r="M34" s="28">
        <f>'1 North Wenatchee Ave'!M32+'2 Confluence Parkway'!M32+'3 Cascade Int'!M32+'4 Sunset Highway'!M32</f>
        <v>0</v>
      </c>
      <c r="N34" s="28">
        <f>'1 North Wenatchee Ave'!N32+'2 Confluence Parkway'!N32+'3 Cascade Int'!N32+'4 Sunset Highway'!N32</f>
        <v>0</v>
      </c>
      <c r="O34" s="28">
        <f>'1 North Wenatchee Ave'!O32+'2 Confluence Parkway'!O32+'3 Cascade Int'!O32+'4 Sunset Highway'!O32</f>
        <v>0</v>
      </c>
      <c r="P34" s="28">
        <f>'1 North Wenatchee Ave'!P32+'2 Confluence Parkway'!P32+'3 Cascade Int'!P32+'4 Sunset Highway'!P32</f>
        <v>0</v>
      </c>
      <c r="Q34" s="41">
        <f>'1 North Wenatchee Ave'!Q32+'2 Confluence Parkway'!Q32+'3 Cascade Int'!Q32+'4 Sunset Highway'!Q32</f>
        <v>0</v>
      </c>
      <c r="R34" s="29">
        <f t="shared" si="0"/>
        <v>3054274.0941500003</v>
      </c>
    </row>
    <row r="35" spans="1:18" x14ac:dyDescent="0.25">
      <c r="A35" s="3"/>
      <c r="B35" s="3"/>
      <c r="C35" s="3" t="s">
        <v>15</v>
      </c>
      <c r="D35" s="7">
        <f>'1 North Wenatchee Ave'!D33+'2 Confluence Parkway'!D33+'3 Cascade Int'!D33+'4 Sunset Highway'!D33</f>
        <v>140414116</v>
      </c>
      <c r="E35" s="108">
        <f>'1 North Wenatchee Ave'!E33+'2 Confluence Parkway'!E33+'3 Cascade Int'!E33+'4 Sunset Highway'!E33</f>
        <v>140414116</v>
      </c>
      <c r="F35" s="96">
        <f>'1 North Wenatchee Ave'!F33+'2 Confluence Parkway'!F33+'3 Cascade Int'!F33+'4 Sunset Highway'!F33</f>
        <v>0</v>
      </c>
      <c r="G35" s="28">
        <f>'1 North Wenatchee Ave'!G33+'2 Confluence Parkway'!G33+'3 Cascade Int'!G33+'4 Sunset Highway'!G33</f>
        <v>0</v>
      </c>
      <c r="H35" s="28">
        <f>'1 North Wenatchee Ave'!H33+'2 Confluence Parkway'!H33+'3 Cascade Int'!H33+'4 Sunset Highway'!H33</f>
        <v>0</v>
      </c>
      <c r="I35" s="28">
        <f>'1 North Wenatchee Ave'!I33+'2 Confluence Parkway'!I33+'3 Cascade Int'!I33+'4 Sunset Highway'!I33</f>
        <v>0</v>
      </c>
      <c r="J35" s="41">
        <f>'1 North Wenatchee Ave'!J33+'2 Confluence Parkway'!J33+'3 Cascade Int'!J33+'4 Sunset Highway'!J33</f>
        <v>0</v>
      </c>
      <c r="K35" s="28">
        <f>'1 North Wenatchee Ave'!K33+'2 Confluence Parkway'!K33+'3 Cascade Int'!K33+'4 Sunset Highway'!K33</f>
        <v>3019502</v>
      </c>
      <c r="L35" s="28">
        <f>'1 North Wenatchee Ave'!L33+'2 Confluence Parkway'!L33+'3 Cascade Int'!L33+'4 Sunset Highway'!L33</f>
        <v>16889616</v>
      </c>
      <c r="M35" s="28">
        <f>'1 North Wenatchee Ave'!M33+'2 Confluence Parkway'!M33+'3 Cascade Int'!M33+'4 Sunset Highway'!M33</f>
        <v>32060322</v>
      </c>
      <c r="N35" s="28">
        <f>'1 North Wenatchee Ave'!N33+'2 Confluence Parkway'!N33+'3 Cascade Int'!N33+'4 Sunset Highway'!N33</f>
        <v>48916969</v>
      </c>
      <c r="O35" s="28">
        <f>'1 North Wenatchee Ave'!O33+'2 Confluence Parkway'!O33+'3 Cascade Int'!O33+'4 Sunset Highway'!O33</f>
        <v>34954707</v>
      </c>
      <c r="P35" s="28">
        <f>'1 North Wenatchee Ave'!P33+'2 Confluence Parkway'!P33+'3 Cascade Int'!P33+'4 Sunset Highway'!P33</f>
        <v>4573000</v>
      </c>
      <c r="Q35" s="41">
        <f>'1 North Wenatchee Ave'!Q33+'2 Confluence Parkway'!Q33+'3 Cascade Int'!Q33+'4 Sunset Highway'!Q33</f>
        <v>0</v>
      </c>
      <c r="R35" s="29">
        <f t="shared" si="0"/>
        <v>140414116</v>
      </c>
    </row>
    <row r="36" spans="1:18" hidden="1" x14ac:dyDescent="0.25">
      <c r="A36" s="3"/>
      <c r="B36" s="3"/>
      <c r="C36" s="3"/>
      <c r="D36" s="7">
        <f>'1 North Wenatchee Ave'!D34+'2 Confluence Parkway'!D34+'3 Cascade Int'!D34+'4 Sunset Highway'!D34</f>
        <v>0</v>
      </c>
      <c r="E36" s="108">
        <f>'1 North Wenatchee Ave'!E34+'2 Confluence Parkway'!E34+'3 Cascade Int'!E34+'4 Sunset Highway'!E34</f>
        <v>0</v>
      </c>
      <c r="F36" s="96">
        <f>'1 North Wenatchee Ave'!F34+'2 Confluence Parkway'!F34+'3 Cascade Int'!F34+'4 Sunset Highway'!F34</f>
        <v>0</v>
      </c>
      <c r="G36" s="28">
        <f>'1 North Wenatchee Ave'!G34+'2 Confluence Parkway'!G34+'3 Cascade Int'!G34+'4 Sunset Highway'!G34</f>
        <v>0</v>
      </c>
      <c r="H36" s="28">
        <f>'1 North Wenatchee Ave'!H34+'2 Confluence Parkway'!H34+'3 Cascade Int'!H34+'4 Sunset Highway'!H34</f>
        <v>0</v>
      </c>
      <c r="I36" s="28">
        <f>'1 North Wenatchee Ave'!I34+'2 Confluence Parkway'!I34+'3 Cascade Int'!I34+'4 Sunset Highway'!I34</f>
        <v>0</v>
      </c>
      <c r="J36" s="41">
        <f>'1 North Wenatchee Ave'!J34+'2 Confluence Parkway'!J34+'3 Cascade Int'!J34+'4 Sunset Highway'!J34</f>
        <v>0</v>
      </c>
      <c r="K36" s="28">
        <f>'1 North Wenatchee Ave'!K34+'2 Confluence Parkway'!K34+'3 Cascade Int'!K34+'4 Sunset Highway'!K34</f>
        <v>0</v>
      </c>
      <c r="L36" s="28">
        <f>'1 North Wenatchee Ave'!L34+'2 Confluence Parkway'!L34+'3 Cascade Int'!L34+'4 Sunset Highway'!L34</f>
        <v>0</v>
      </c>
      <c r="M36" s="28">
        <f>'1 North Wenatchee Ave'!M34+'2 Confluence Parkway'!M34+'3 Cascade Int'!M34+'4 Sunset Highway'!M34</f>
        <v>0</v>
      </c>
      <c r="N36" s="28">
        <f>'1 North Wenatchee Ave'!N34+'2 Confluence Parkway'!N34+'3 Cascade Int'!N34+'4 Sunset Highway'!N34</f>
        <v>0</v>
      </c>
      <c r="O36" s="28">
        <f>'1 North Wenatchee Ave'!O34+'2 Confluence Parkway'!O34+'3 Cascade Int'!O34+'4 Sunset Highway'!O34</f>
        <v>0</v>
      </c>
      <c r="P36" s="28">
        <f>'1 North Wenatchee Ave'!P34+'2 Confluence Parkway'!P34+'3 Cascade Int'!P34+'4 Sunset Highway'!P34</f>
        <v>0</v>
      </c>
      <c r="Q36" s="41">
        <f>'1 North Wenatchee Ave'!Q34+'2 Confluence Parkway'!Q34+'3 Cascade Int'!Q34+'4 Sunset Highway'!Q34</f>
        <v>0</v>
      </c>
      <c r="R36" s="29">
        <f t="shared" si="0"/>
        <v>0</v>
      </c>
    </row>
    <row r="37" spans="1:18" x14ac:dyDescent="0.25">
      <c r="A37" s="3"/>
      <c r="B37" s="3"/>
      <c r="C37" s="3"/>
      <c r="D37" s="9"/>
      <c r="E37" s="126"/>
      <c r="F37" s="97"/>
      <c r="G37" s="63"/>
      <c r="H37" s="63"/>
      <c r="I37" s="63"/>
      <c r="J37" s="64"/>
      <c r="K37" s="63"/>
      <c r="L37" s="63"/>
      <c r="M37" s="63"/>
      <c r="N37" s="63"/>
      <c r="O37" s="63"/>
      <c r="P37" s="63"/>
      <c r="Q37" s="64"/>
      <c r="R37" s="29">
        <f t="shared" si="0"/>
        <v>0</v>
      </c>
    </row>
    <row r="38" spans="1:18" x14ac:dyDescent="0.25">
      <c r="A38" s="3"/>
      <c r="B38" s="3" t="s">
        <v>18</v>
      </c>
      <c r="C38" s="3"/>
      <c r="D38" s="7">
        <f>SUM(D34:D37)</f>
        <v>140414116</v>
      </c>
      <c r="E38" s="108">
        <f>SUM(E34:E37)</f>
        <v>143639502.78525001</v>
      </c>
      <c r="F38" s="96">
        <f>SUM(F34:F37)</f>
        <v>171112.69110000003</v>
      </c>
      <c r="G38" s="28">
        <f>SUM(G34:G37)</f>
        <v>63178.735000000001</v>
      </c>
      <c r="H38" s="28">
        <f t="shared" ref="H38:Q38" si="3">SUM(H34:H37)</f>
        <v>657867.16054999991</v>
      </c>
      <c r="I38" s="28">
        <f t="shared" si="3"/>
        <v>1115486.3886000002</v>
      </c>
      <c r="J38" s="41">
        <f t="shared" si="3"/>
        <v>1217741.81</v>
      </c>
      <c r="K38" s="28">
        <f t="shared" si="3"/>
        <v>3019502</v>
      </c>
      <c r="L38" s="28">
        <f t="shared" si="3"/>
        <v>16889616</v>
      </c>
      <c r="M38" s="28">
        <f t="shared" si="3"/>
        <v>32060322</v>
      </c>
      <c r="N38" s="28">
        <f t="shared" si="3"/>
        <v>48916969</v>
      </c>
      <c r="O38" s="28">
        <f t="shared" si="3"/>
        <v>34954707</v>
      </c>
      <c r="P38" s="28">
        <f t="shared" si="3"/>
        <v>4573000</v>
      </c>
      <c r="Q38" s="41">
        <f t="shared" si="3"/>
        <v>0</v>
      </c>
      <c r="R38" s="29">
        <f t="shared" si="0"/>
        <v>143468390.09415001</v>
      </c>
    </row>
    <row r="39" spans="1:18" x14ac:dyDescent="0.25">
      <c r="A39" s="3"/>
      <c r="B39" s="3"/>
      <c r="C39" s="3"/>
      <c r="D39" s="11"/>
      <c r="E39" s="11"/>
      <c r="F39" s="48"/>
      <c r="G39" s="28"/>
      <c r="H39" s="28"/>
      <c r="I39" s="28"/>
      <c r="J39" s="41"/>
      <c r="K39" s="8"/>
      <c r="L39" s="8"/>
      <c r="M39" s="8"/>
      <c r="N39" s="8"/>
      <c r="O39" s="8"/>
      <c r="P39" s="8"/>
      <c r="Q39" s="8"/>
      <c r="R39" s="29">
        <f t="shared" si="0"/>
        <v>0</v>
      </c>
    </row>
    <row r="40" spans="1:18" x14ac:dyDescent="0.25">
      <c r="A40" s="3" t="s">
        <v>30</v>
      </c>
      <c r="B40" s="3"/>
      <c r="C40" s="3"/>
      <c r="D40" s="11">
        <f>D38+D32+D21</f>
        <v>262836098</v>
      </c>
      <c r="E40" s="11">
        <f>E38+E32+E21</f>
        <v>283206072.85000002</v>
      </c>
      <c r="F40" s="11">
        <f>F38+F32+F21</f>
        <v>8924081.1400000006</v>
      </c>
      <c r="G40" s="11">
        <f t="shared" ref="G40:Q40" si="4">G38+G32+G21</f>
        <v>1820564</v>
      </c>
      <c r="H40" s="11">
        <f t="shared" si="4"/>
        <v>2599662.0699999998</v>
      </c>
      <c r="I40" s="11">
        <f t="shared" si="4"/>
        <v>5319940.6400000006</v>
      </c>
      <c r="J40" s="55">
        <f t="shared" si="4"/>
        <v>10848493</v>
      </c>
      <c r="K40" s="11">
        <f t="shared" si="4"/>
        <v>17249482</v>
      </c>
      <c r="L40" s="11">
        <f t="shared" si="4"/>
        <v>39813330</v>
      </c>
      <c r="M40" s="11">
        <f t="shared" si="4"/>
        <v>57676934</v>
      </c>
      <c r="N40" s="11">
        <f t="shared" si="4"/>
        <v>86027321</v>
      </c>
      <c r="O40" s="11">
        <f t="shared" si="4"/>
        <v>46039591</v>
      </c>
      <c r="P40" s="11">
        <f t="shared" si="4"/>
        <v>9945674</v>
      </c>
      <c r="Q40" s="11">
        <f t="shared" si="4"/>
        <v>0</v>
      </c>
      <c r="R40" s="29">
        <f t="shared" si="0"/>
        <v>277340991.71000004</v>
      </c>
    </row>
    <row r="41" spans="1:18" x14ac:dyDescent="0.25">
      <c r="A41" s="3"/>
      <c r="B41" s="3"/>
      <c r="C41" s="3"/>
      <c r="D41" s="11"/>
      <c r="E41" s="11"/>
      <c r="F41" s="27"/>
      <c r="G41" s="28"/>
      <c r="H41" s="8"/>
      <c r="I41" s="8"/>
      <c r="J41" s="8"/>
      <c r="K41" s="8"/>
      <c r="L41" s="8"/>
      <c r="M41" s="8"/>
      <c r="N41" s="8"/>
      <c r="O41" s="8"/>
      <c r="P41" s="8"/>
      <c r="Q41" s="8"/>
      <c r="R41" s="26"/>
    </row>
    <row r="42" spans="1:18" ht="18.75" x14ac:dyDescent="0.3">
      <c r="A42" s="31" t="s">
        <v>2</v>
      </c>
      <c r="B42" s="10"/>
      <c r="C42" s="10"/>
      <c r="D42" s="12"/>
      <c r="E42" s="12"/>
      <c r="F42" s="12"/>
      <c r="G42" s="2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26"/>
    </row>
    <row r="43" spans="1:18" x14ac:dyDescent="0.25">
      <c r="A43" s="4"/>
      <c r="B43" s="4"/>
      <c r="C43" s="4" t="s">
        <v>69</v>
      </c>
      <c r="D43" s="20" t="s">
        <v>81</v>
      </c>
      <c r="E43" s="20" t="s">
        <v>79</v>
      </c>
      <c r="F43" s="99" t="s">
        <v>77</v>
      </c>
      <c r="G43" s="4">
        <v>2018</v>
      </c>
      <c r="H43" s="4">
        <v>2019</v>
      </c>
      <c r="I43" s="4">
        <v>2020</v>
      </c>
      <c r="J43" s="101">
        <v>2021</v>
      </c>
      <c r="K43" s="4">
        <v>2022</v>
      </c>
      <c r="L43" s="4">
        <v>2023</v>
      </c>
      <c r="M43" s="4">
        <v>2024</v>
      </c>
      <c r="N43" s="4">
        <v>2025</v>
      </c>
      <c r="O43" s="4">
        <v>2026</v>
      </c>
      <c r="P43" s="4">
        <v>2027</v>
      </c>
      <c r="Q43" s="4">
        <v>2028</v>
      </c>
      <c r="R43" s="22" t="s">
        <v>33</v>
      </c>
    </row>
    <row r="44" spans="1:18" x14ac:dyDescent="0.25">
      <c r="D44" s="7"/>
      <c r="E44" s="108"/>
      <c r="F44" s="113"/>
      <c r="G44" s="43"/>
      <c r="H44" s="136"/>
      <c r="I44" s="43"/>
      <c r="J44" s="104"/>
      <c r="R44" s="29">
        <f t="shared" ref="R44:R61" si="5">SUM(G44:Q44)</f>
        <v>0</v>
      </c>
    </row>
    <row r="45" spans="1:18" x14ac:dyDescent="0.25">
      <c r="A45" s="2" t="s">
        <v>24</v>
      </c>
      <c r="B45" s="2"/>
      <c r="C45" s="2"/>
      <c r="D45" s="39">
        <f>SUM(D47:D49)</f>
        <v>52664893</v>
      </c>
      <c r="E45" s="127">
        <f>SUM(E47:E49)</f>
        <v>61743497.850000001</v>
      </c>
      <c r="F45" s="96">
        <f>SUM(F47:F49)</f>
        <v>420205.14000000007</v>
      </c>
      <c r="G45" s="66">
        <f>SUM(G47:G49)</f>
        <v>1651694.67</v>
      </c>
      <c r="H45" s="66">
        <f t="shared" ref="H45:Q45" si="6">SUM(H47:H49)</f>
        <v>1129430.0699999998</v>
      </c>
      <c r="I45" s="66">
        <f t="shared" si="6"/>
        <v>2086178.6400000001</v>
      </c>
      <c r="J45" s="67">
        <f t="shared" si="6"/>
        <v>3764727</v>
      </c>
      <c r="K45" s="66">
        <f t="shared" si="6"/>
        <v>2396216</v>
      </c>
      <c r="L45" s="66">
        <f t="shared" si="6"/>
        <v>13089950</v>
      </c>
      <c r="M45" s="66">
        <f t="shared" si="6"/>
        <v>22510817</v>
      </c>
      <c r="N45" s="66">
        <f t="shared" si="6"/>
        <v>13210352</v>
      </c>
      <c r="O45" s="66">
        <f t="shared" si="6"/>
        <v>1084884</v>
      </c>
      <c r="P45" s="66">
        <f t="shared" si="6"/>
        <v>372674</v>
      </c>
      <c r="Q45" s="67">
        <f t="shared" si="6"/>
        <v>0</v>
      </c>
      <c r="R45" s="29">
        <f t="shared" si="5"/>
        <v>61296923.379999995</v>
      </c>
    </row>
    <row r="46" spans="1:18" x14ac:dyDescent="0.25">
      <c r="D46" s="7"/>
      <c r="E46" s="108"/>
      <c r="F46" s="96"/>
      <c r="G46" s="43"/>
      <c r="H46" s="43"/>
      <c r="I46" s="43"/>
      <c r="J46" s="104"/>
      <c r="R46" s="29">
        <f t="shared" si="5"/>
        <v>0</v>
      </c>
    </row>
    <row r="47" spans="1:18" x14ac:dyDescent="0.25">
      <c r="C47" t="s">
        <v>64</v>
      </c>
      <c r="D47" s="7">
        <f>'1 North Wenatchee Ave'!D46+'1 North Wenatchee Ave'!D47+'1 North Wenatchee Ave'!D55+'1 North Wenatchee Ave'!D56+'1 North Wenatchee Ave'!D64+'1 North Wenatchee Ave'!D65</f>
        <v>3560028.9999999995</v>
      </c>
      <c r="E47" s="108">
        <f>'1 North Wenatchee Ave'!E46+'1 North Wenatchee Ave'!E47+'1 North Wenatchee Ave'!E55+'1 North Wenatchee Ave'!E56+'1 North Wenatchee Ave'!E64+'1 North Wenatchee Ave'!E65</f>
        <v>7667163.8499999996</v>
      </c>
      <c r="F47" s="96">
        <f>'1 North Wenatchee Ave'!F46+'1 North Wenatchee Ave'!F47+'1 North Wenatchee Ave'!F55+'1 North Wenatchee Ave'!F56+'1 North Wenatchee Ave'!F64+'1 North Wenatchee Ave'!F65</f>
        <v>371374.31000000006</v>
      </c>
      <c r="G47" s="27">
        <f>'1 North Wenatchee Ave'!G46+'1 North Wenatchee Ave'!G47+'1 North Wenatchee Ave'!G64+'1 North Wenatchee Ave'!G65</f>
        <v>355025</v>
      </c>
      <c r="H47" s="27">
        <f>'1 North Wenatchee Ave'!H46+'1 North Wenatchee Ave'!H47+'1 North Wenatchee Ave'!H55+'1 North Wenatchee Ave'!H56+'1 North Wenatchee Ave'!H64+'1 North Wenatchee Ave'!H65</f>
        <v>450980.20999999996</v>
      </c>
      <c r="I47" s="27">
        <f>'1 North Wenatchee Ave'!I46+'1 North Wenatchee Ave'!I47+'1 North Wenatchee Ave'!I55+'1 North Wenatchee Ave'!I56+'1 North Wenatchee Ave'!I64+'1 North Wenatchee Ave'!I65</f>
        <v>772587</v>
      </c>
      <c r="J47" s="55">
        <f>'1 North Wenatchee Ave'!J46+'1 North Wenatchee Ave'!J47+'1 North Wenatchee Ave'!J55+'1 North Wenatchee Ave'!J56+'1 North Wenatchee Ave'!J64+'1 North Wenatchee Ave'!J65</f>
        <v>2130799</v>
      </c>
      <c r="K47" s="27">
        <f>'1 North Wenatchee Ave'!K46+'1 North Wenatchee Ave'!K47+'1 North Wenatchee Ave'!K55+'1 North Wenatchee Ave'!K56+'1 North Wenatchee Ave'!K64+'1 North Wenatchee Ave'!K65</f>
        <v>1998170</v>
      </c>
      <c r="L47" s="27">
        <f>'1 North Wenatchee Ave'!L46+'1 North Wenatchee Ave'!L47+'1 North Wenatchee Ave'!L55+'1 North Wenatchee Ave'!L56+'1 North Wenatchee Ave'!L64+'1 North Wenatchee Ave'!L65</f>
        <v>1526426</v>
      </c>
      <c r="M47" s="27">
        <f>'1 North Wenatchee Ave'!M46+'1 North Wenatchee Ave'!M47+'1 North Wenatchee Ave'!M55+'1 North Wenatchee Ave'!M56+'1 North Wenatchee Ave'!M64+'1 North Wenatchee Ave'!M65</f>
        <v>35433</v>
      </c>
      <c r="N47" s="27">
        <f>'1 North Wenatchee Ave'!N46+'1 North Wenatchee Ave'!N47+'1 North Wenatchee Ave'!N55+'1 North Wenatchee Ave'!N56+'1 North Wenatchee Ave'!N64+'1 North Wenatchee Ave'!N65</f>
        <v>0</v>
      </c>
      <c r="O47" s="27">
        <f>'1 North Wenatchee Ave'!O46+'1 North Wenatchee Ave'!O47+'1 North Wenatchee Ave'!O55+'1 North Wenatchee Ave'!O56+'1 North Wenatchee Ave'!O64+'1 North Wenatchee Ave'!O65</f>
        <v>0</v>
      </c>
      <c r="P47" s="27">
        <f>'1 North Wenatchee Ave'!P46+'1 North Wenatchee Ave'!P47+'1 North Wenatchee Ave'!P55+'1 North Wenatchee Ave'!P56+'1 North Wenatchee Ave'!P64+'1 North Wenatchee Ave'!P65</f>
        <v>0</v>
      </c>
      <c r="Q47" s="55">
        <f>'1 North Wenatchee Ave'!Q46+'1 North Wenatchee Ave'!Q47+'1 North Wenatchee Ave'!Q55+'1 North Wenatchee Ave'!Q56+'1 North Wenatchee Ave'!Q64+'1 North Wenatchee Ave'!Q65</f>
        <v>0</v>
      </c>
      <c r="R47" s="29">
        <f t="shared" si="5"/>
        <v>7269420.21</v>
      </c>
    </row>
    <row r="48" spans="1:18" x14ac:dyDescent="0.25">
      <c r="C48" t="s">
        <v>22</v>
      </c>
      <c r="D48" s="7">
        <f>'1 North Wenatchee Ave'!D48+'1 North Wenatchee Ave'!D57+'1 North Wenatchee Ave'!D66</f>
        <v>1346664</v>
      </c>
      <c r="E48" s="108">
        <f>'1 North Wenatchee Ave'!E48+'1 North Wenatchee Ave'!E57+'1 North Wenatchee Ave'!E66</f>
        <v>4790340</v>
      </c>
      <c r="F48" s="96">
        <f>'1 North Wenatchee Ave'!F48+'1 North Wenatchee Ave'!F57+'1 North Wenatchee Ave'!F66</f>
        <v>48830.83</v>
      </c>
      <c r="G48" s="27">
        <f>'1 North Wenatchee Ave'!G48+'1 North Wenatchee Ave'!G57+'1 North Wenatchee Ave'!G66</f>
        <v>1296669.67</v>
      </c>
      <c r="H48" s="27">
        <f>'1 North Wenatchee Ave'!H48+'1 North Wenatchee Ave'!H57+'1 North Wenatchee Ave'!H66</f>
        <v>678449.86</v>
      </c>
      <c r="I48" s="27">
        <f>'1 North Wenatchee Ave'!I48+'1 North Wenatchee Ave'!I57+'1 North Wenatchee Ave'!I66</f>
        <v>1313591.6400000001</v>
      </c>
      <c r="J48" s="55">
        <f>'1 North Wenatchee Ave'!J48+'1 North Wenatchee Ave'!J57+'1 North Wenatchee Ave'!J66</f>
        <v>106134</v>
      </c>
      <c r="K48" s="27">
        <f>'1 North Wenatchee Ave'!K48+'1 North Wenatchee Ave'!K57+'1 North Wenatchee Ave'!K66</f>
        <v>43997</v>
      </c>
      <c r="L48" s="27">
        <f>'1 North Wenatchee Ave'!L48+'1 North Wenatchee Ave'!L57+'1 North Wenatchee Ave'!L66</f>
        <v>486000</v>
      </c>
      <c r="M48" s="27">
        <f>'1 North Wenatchee Ave'!M48+'1 North Wenatchee Ave'!M57+'1 North Wenatchee Ave'!M66</f>
        <v>816667</v>
      </c>
      <c r="N48" s="27">
        <f>'1 North Wenatchee Ave'!N48+'1 North Wenatchee Ave'!N57+'1 North Wenatchee Ave'!N66</f>
        <v>0</v>
      </c>
      <c r="O48" s="27">
        <f>'1 North Wenatchee Ave'!O48+'1 North Wenatchee Ave'!O57+'1 North Wenatchee Ave'!O66</f>
        <v>0</v>
      </c>
      <c r="P48" s="27">
        <f>'1 North Wenatchee Ave'!P48+'1 North Wenatchee Ave'!P57+'1 North Wenatchee Ave'!P66</f>
        <v>0</v>
      </c>
      <c r="Q48" s="55">
        <f>'1 North Wenatchee Ave'!Q48+'1 North Wenatchee Ave'!Q57+'1 North Wenatchee Ave'!Q66</f>
        <v>0</v>
      </c>
      <c r="R48" s="29">
        <f t="shared" si="5"/>
        <v>4741509.17</v>
      </c>
    </row>
    <row r="49" spans="1:18" x14ac:dyDescent="0.25">
      <c r="C49" t="s">
        <v>178</v>
      </c>
      <c r="D49" s="7">
        <f>'1 North Wenatchee Ave'!D49+'1 North Wenatchee Ave'!D50+'1 North Wenatchee Ave'!D51+'1 North Wenatchee Ave'!D58+'1 North Wenatchee Ave'!D59+'1 North Wenatchee Ave'!D60+'1 North Wenatchee Ave'!D67+'1 North Wenatchee Ave'!D68+'1 North Wenatchee Ave'!D69</f>
        <v>47758200</v>
      </c>
      <c r="E49" s="108">
        <f>'1 North Wenatchee Ave'!E49+'1 North Wenatchee Ave'!E50+'1 North Wenatchee Ave'!E51+'1 North Wenatchee Ave'!E58+'1 North Wenatchee Ave'!E59+'1 North Wenatchee Ave'!E60+'1 North Wenatchee Ave'!E67+'1 North Wenatchee Ave'!E68+'1 North Wenatchee Ave'!E69</f>
        <v>49285994</v>
      </c>
      <c r="F49" s="96">
        <f>'1 North Wenatchee Ave'!F49+'1 North Wenatchee Ave'!F50+'1 North Wenatchee Ave'!F51+'1 North Wenatchee Ave'!F58+'1 North Wenatchee Ave'!F59+'1 North Wenatchee Ave'!F60+'1 North Wenatchee Ave'!F67+'1 North Wenatchee Ave'!F68+'1 North Wenatchee Ave'!F69</f>
        <v>0</v>
      </c>
      <c r="G49" s="27">
        <f>'1 North Wenatchee Ave'!G49+'1 North Wenatchee Ave'!G50+'1 North Wenatchee Ave'!G51+'1 North Wenatchee Ave'!G58+'1 North Wenatchee Ave'!G59+'1 North Wenatchee Ave'!G60+'1 North Wenatchee Ave'!G67+'1 North Wenatchee Ave'!G68+'1 North Wenatchee Ave'!G69</f>
        <v>0</v>
      </c>
      <c r="H49" s="27">
        <f>'1 North Wenatchee Ave'!H49+'1 North Wenatchee Ave'!H50+'1 North Wenatchee Ave'!H51+'1 North Wenatchee Ave'!H58+'1 North Wenatchee Ave'!H59+'1 North Wenatchee Ave'!H60+'1 North Wenatchee Ave'!H67+'1 North Wenatchee Ave'!H68+'1 North Wenatchee Ave'!H69</f>
        <v>0</v>
      </c>
      <c r="I49" s="27">
        <f>'1 North Wenatchee Ave'!I49+'1 North Wenatchee Ave'!I50+'1 North Wenatchee Ave'!I51+'1 North Wenatchee Ave'!I58+'1 North Wenatchee Ave'!I59+'1 North Wenatchee Ave'!I60+'1 North Wenatchee Ave'!I67+'1 North Wenatchee Ave'!I68+'1 North Wenatchee Ave'!I69</f>
        <v>0</v>
      </c>
      <c r="J49" s="55">
        <f>'1 North Wenatchee Ave'!J49+'1 North Wenatchee Ave'!J50+'1 North Wenatchee Ave'!J51+'1 North Wenatchee Ave'!J58+'1 North Wenatchee Ave'!J59+'1 North Wenatchee Ave'!J60+'1 North Wenatchee Ave'!J67+'1 North Wenatchee Ave'!J68+'1 North Wenatchee Ave'!J69</f>
        <v>1527794</v>
      </c>
      <c r="K49" s="27">
        <f>'1 North Wenatchee Ave'!K49+'1 North Wenatchee Ave'!K50+'1 North Wenatchee Ave'!K51+'1 North Wenatchee Ave'!K58+'1 North Wenatchee Ave'!K59+'1 North Wenatchee Ave'!K60+'1 North Wenatchee Ave'!K67+'1 North Wenatchee Ave'!K68+'1 North Wenatchee Ave'!K69</f>
        <v>354049</v>
      </c>
      <c r="L49" s="27">
        <f>'1 North Wenatchee Ave'!L49+'1 North Wenatchee Ave'!L50+'1 North Wenatchee Ave'!L51+'1 North Wenatchee Ave'!L58+'1 North Wenatchee Ave'!L59+'1 North Wenatchee Ave'!L60+'1 North Wenatchee Ave'!L67+'1 North Wenatchee Ave'!L68+'1 North Wenatchee Ave'!L69</f>
        <v>11077524</v>
      </c>
      <c r="M49" s="27">
        <f>'1 North Wenatchee Ave'!M49+'1 North Wenatchee Ave'!M50+'1 North Wenatchee Ave'!M51+'1 North Wenatchee Ave'!M58+'1 North Wenatchee Ave'!M59+'1 North Wenatchee Ave'!M60+'1 North Wenatchee Ave'!M67+'1 North Wenatchee Ave'!M68+'1 North Wenatchee Ave'!M69</f>
        <v>21658717</v>
      </c>
      <c r="N49" s="27">
        <f>'1 North Wenatchee Ave'!N49+'1 North Wenatchee Ave'!N50+'1 North Wenatchee Ave'!N51+'1 North Wenatchee Ave'!N58+'1 North Wenatchee Ave'!N59+'1 North Wenatchee Ave'!N60+'1 North Wenatchee Ave'!N67+'1 North Wenatchee Ave'!N68+'1 North Wenatchee Ave'!N69</f>
        <v>13210352</v>
      </c>
      <c r="O49" s="27">
        <f>'1 North Wenatchee Ave'!O49+'1 North Wenatchee Ave'!O50+'1 North Wenatchee Ave'!O51+'1 North Wenatchee Ave'!O58+'1 North Wenatchee Ave'!O59+'1 North Wenatchee Ave'!O60+'1 North Wenatchee Ave'!O67+'1 North Wenatchee Ave'!O68+'1 North Wenatchee Ave'!O69</f>
        <v>1084884</v>
      </c>
      <c r="P49" s="27">
        <f>'1 North Wenatchee Ave'!P49+'1 North Wenatchee Ave'!P50+'1 North Wenatchee Ave'!P51+'1 North Wenatchee Ave'!P58+'1 North Wenatchee Ave'!P59+'1 North Wenatchee Ave'!P60+'1 North Wenatchee Ave'!P67+'1 North Wenatchee Ave'!P68+'1 North Wenatchee Ave'!P69</f>
        <v>372674</v>
      </c>
      <c r="Q49" s="55">
        <f>'1 North Wenatchee Ave'!Q49+'1 North Wenatchee Ave'!Q50+'1 North Wenatchee Ave'!Q51+'1 North Wenatchee Ave'!Q58+'1 North Wenatchee Ave'!Q59+'1 North Wenatchee Ave'!Q60+'1 North Wenatchee Ave'!Q67+'1 North Wenatchee Ave'!Q68+'1 North Wenatchee Ave'!Q69</f>
        <v>0</v>
      </c>
      <c r="R49" s="29">
        <f t="shared" si="5"/>
        <v>49285994</v>
      </c>
    </row>
    <row r="50" spans="1:18" x14ac:dyDescent="0.25">
      <c r="D50" s="7"/>
      <c r="E50" s="108"/>
      <c r="F50" s="96"/>
      <c r="G50" s="28"/>
      <c r="H50" s="43"/>
      <c r="I50" s="43"/>
      <c r="J50" s="104"/>
      <c r="R50" s="29">
        <f t="shared" si="5"/>
        <v>0</v>
      </c>
    </row>
    <row r="51" spans="1:18" x14ac:dyDescent="0.25">
      <c r="A51" s="2" t="s">
        <v>27</v>
      </c>
      <c r="B51" s="2"/>
      <c r="C51" s="2"/>
      <c r="D51" s="39">
        <f>SUM(D53:D55)</f>
        <v>137549360</v>
      </c>
      <c r="E51" s="127">
        <f>SUM(E53:E55)</f>
        <v>141157431</v>
      </c>
      <c r="F51" s="96">
        <f>SUM(F53:F55)</f>
        <v>620000</v>
      </c>
      <c r="G51" s="66">
        <f>SUM(G53:G55)</f>
        <v>0</v>
      </c>
      <c r="H51" s="66">
        <f t="shared" ref="H51:Q51" si="7">SUM(H53:H55)</f>
        <v>688071</v>
      </c>
      <c r="I51" s="66">
        <f t="shared" si="7"/>
        <v>900000</v>
      </c>
      <c r="J51" s="67">
        <f t="shared" si="7"/>
        <v>1400000</v>
      </c>
      <c r="K51" s="65">
        <f t="shared" si="7"/>
        <v>9542273</v>
      </c>
      <c r="L51" s="66">
        <f t="shared" si="7"/>
        <v>26679084</v>
      </c>
      <c r="M51" s="66">
        <f t="shared" si="7"/>
        <v>61000000</v>
      </c>
      <c r="N51" s="66">
        <f t="shared" si="7"/>
        <v>32255003</v>
      </c>
      <c r="O51" s="66">
        <f t="shared" si="7"/>
        <v>4573000</v>
      </c>
      <c r="P51" s="66">
        <f t="shared" si="7"/>
        <v>0</v>
      </c>
      <c r="Q51" s="67">
        <f t="shared" si="7"/>
        <v>0</v>
      </c>
      <c r="R51" s="58">
        <f t="shared" si="5"/>
        <v>137037431</v>
      </c>
    </row>
    <row r="52" spans="1:18" x14ac:dyDescent="0.25">
      <c r="D52" s="7"/>
      <c r="E52" s="108"/>
      <c r="F52" s="96"/>
      <c r="G52" s="28"/>
      <c r="H52" s="43"/>
      <c r="I52" s="43"/>
      <c r="J52" s="104"/>
      <c r="K52" s="26"/>
      <c r="R52" s="29">
        <f t="shared" si="5"/>
        <v>0</v>
      </c>
    </row>
    <row r="53" spans="1:18" x14ac:dyDescent="0.25">
      <c r="C53" t="s">
        <v>64</v>
      </c>
      <c r="D53" s="7">
        <f>'2 Confluence Parkway'!D46+'2 Confluence Parkway'!D47+'2 Confluence Parkway'!D55+'2 Confluence Parkway'!D56+'2 Confluence Parkway'!D65+'2 Confluence Parkway'!D66</f>
        <v>10902929</v>
      </c>
      <c r="E53" s="108">
        <f>'2 Confluence Parkway'!E46+'2 Confluence Parkway'!E47+'2 Confluence Parkway'!E55+'2 Confluence Parkway'!E56+'2 Confluence Parkway'!E65+'2 Confluence Parkway'!E66</f>
        <v>14511000</v>
      </c>
      <c r="F53" s="96">
        <f>'2 Confluence Parkway'!F46+'2 Confluence Parkway'!F47+'2 Confluence Parkway'!F55+'2 Confluence Parkway'!F56+'2 Confluence Parkway'!F65+'2 Confluence Parkway'!F66</f>
        <v>620000</v>
      </c>
      <c r="G53" s="27">
        <f>'2 Confluence Parkway'!G46+'2 Confluence Parkway'!G47+'2 Confluence Parkway'!G55+'2 Confluence Parkway'!G56+'2 Confluence Parkway'!G65+'2 Confluence Parkway'!G66</f>
        <v>0</v>
      </c>
      <c r="H53" s="27">
        <f>'2 Confluence Parkway'!H46+'2 Confluence Parkway'!H47+'2 Confluence Parkway'!H55+'2 Confluence Parkway'!H56+'2 Confluence Parkway'!H65+'2 Confluence Parkway'!H66</f>
        <v>688071</v>
      </c>
      <c r="I53" s="27">
        <f>'2 Confluence Parkway'!I46+'2 Confluence Parkway'!I47+'2 Confluence Parkway'!I55+'2 Confluence Parkway'!I56+'2 Confluence Parkway'!I65+'2 Confluence Parkway'!I66</f>
        <v>900000</v>
      </c>
      <c r="J53" s="55">
        <f>'2 Confluence Parkway'!J46+'2 Confluence Parkway'!K47+'2 Confluence Parkway'!J55+'2 Confluence Parkway'!J56+'2 Confluence Parkway'!J65+'2 Confluence Parkway'!J66</f>
        <v>1400000</v>
      </c>
      <c r="K53" s="48">
        <f>'2 Confluence Parkway'!K46+'2 Confluence Parkway'!L47+'2 Confluence Parkway'!K55+'2 Confluence Parkway'!K56+'2 Confluence Parkway'!K65+'2 Confluence Parkway'!K66</f>
        <v>4377901</v>
      </c>
      <c r="L53" s="27">
        <f>'2 Confluence Parkway'!L46+'2 Confluence Parkway'!L47+'2 Confluence Parkway'!L55+'2 Confluence Parkway'!L56+'2 Confluence Parkway'!L65+'2 Confluence Parkway'!L66</f>
        <v>6525028</v>
      </c>
      <c r="M53" s="27">
        <f>'2 Confluence Parkway'!M46+'2 Confluence Parkway'!M47+'2 Confluence Parkway'!M55+'2 Confluence Parkway'!M56+'2 Confluence Parkway'!M65+'2 Confluence Parkway'!M66</f>
        <v>0</v>
      </c>
      <c r="N53" s="27">
        <f>'2 Confluence Parkway'!N46+'2 Confluence Parkway'!N47+'2 Confluence Parkway'!N55+'2 Confluence Parkway'!N56+'2 Confluence Parkway'!N65+'2 Confluence Parkway'!N66</f>
        <v>0</v>
      </c>
      <c r="O53" s="27">
        <f>'2 Confluence Parkway'!O46+'2 Confluence Parkway'!O47+'2 Confluence Parkway'!O55+'2 Confluence Parkway'!O56+'2 Confluence Parkway'!O65+'2 Confluence Parkway'!O66</f>
        <v>0</v>
      </c>
      <c r="P53" s="27">
        <f>'2 Confluence Parkway'!P46+'2 Confluence Parkway'!P47+'2 Confluence Parkway'!P55+'2 Confluence Parkway'!P56+'2 Confluence Parkway'!P65+'2 Confluence Parkway'!P66</f>
        <v>0</v>
      </c>
      <c r="Q53" s="55">
        <f>'2 Confluence Parkway'!Q46+'2 Confluence Parkway'!Q47+'2 Confluence Parkway'!Q55+'2 Confluence Parkway'!Q56+'2 Confluence Parkway'!Q65+'2 Confluence Parkway'!Q66</f>
        <v>0</v>
      </c>
      <c r="R53" s="29">
        <f t="shared" si="5"/>
        <v>13891000</v>
      </c>
    </row>
    <row r="54" spans="1:18" x14ac:dyDescent="0.25">
      <c r="C54" t="s">
        <v>22</v>
      </c>
      <c r="D54" s="7">
        <f>'2 Confluence Parkway'!D48+'2 Confluence Parkway'!D57+'2 Confluence Parkway'!D67</f>
        <v>19618428</v>
      </c>
      <c r="E54" s="108">
        <f>'2 Confluence Parkway'!E48+'2 Confluence Parkway'!E57+'2 Confluence Parkway'!E67</f>
        <v>19618428</v>
      </c>
      <c r="F54" s="96">
        <f>'2 Confluence Parkway'!F48+'2 Confluence Parkway'!F57+'2 Confluence Parkway'!F67</f>
        <v>0</v>
      </c>
      <c r="G54" s="27">
        <f>'2 Confluence Parkway'!G48+'2 Confluence Parkway'!G57+'2 Confluence Parkway'!G67</f>
        <v>0</v>
      </c>
      <c r="H54" s="27">
        <f>'2 Confluence Parkway'!H48+'2 Confluence Parkway'!H57+'2 Confluence Parkway'!H67</f>
        <v>0</v>
      </c>
      <c r="I54" s="27">
        <f>'2 Confluence Parkway'!I48+'2 Confluence Parkway'!I57+'2 Confluence Parkway'!I67</f>
        <v>0</v>
      </c>
      <c r="J54" s="55">
        <f>'2 Confluence Parkway'!J48+'2 Confluence Parkway'!J57+'2 Confluence Parkway'!J67</f>
        <v>0</v>
      </c>
      <c r="K54" s="27">
        <f>'2 Confluence Parkway'!K48+'2 Confluence Parkway'!L57+'2 Confluence Parkway'!K67</f>
        <v>5164372</v>
      </c>
      <c r="L54" s="27">
        <f>'2 Confluence Parkway'!M48+'2 Confluence Parkway'!M57+'2 Confluence Parkway'!L67</f>
        <v>10954056</v>
      </c>
      <c r="M54" s="27">
        <f>'2 Confluence Parkway'!N48+'2 Confluence Parkway'!N57+'2 Confluence Parkway'!M67</f>
        <v>0</v>
      </c>
      <c r="N54" s="27">
        <f>'2 Confluence Parkway'!N48+'2 Confluence Parkway'!N57+'2 Confluence Parkway'!N67</f>
        <v>0</v>
      </c>
      <c r="O54" s="27">
        <f>'2 Confluence Parkway'!O48+'2 Confluence Parkway'!O57+'2 Confluence Parkway'!O67</f>
        <v>0</v>
      </c>
      <c r="P54" s="27">
        <f>'2 Confluence Parkway'!P48+'2 Confluence Parkway'!P57+'2 Confluence Parkway'!P67</f>
        <v>0</v>
      </c>
      <c r="Q54" s="55">
        <f>'2 Confluence Parkway'!Q48+'2 Confluence Parkway'!Q57+'2 Confluence Parkway'!Q67</f>
        <v>0</v>
      </c>
      <c r="R54" s="29">
        <f t="shared" si="5"/>
        <v>16118428</v>
      </c>
    </row>
    <row r="55" spans="1:18" x14ac:dyDescent="0.25">
      <c r="C55" t="s">
        <v>178</v>
      </c>
      <c r="D55" s="7">
        <f>'2 Confluence Parkway'!D49+'2 Confluence Parkway'!D50+'2 Confluence Parkway'!D51+'2 Confluence Parkway'!D58+'2 Confluence Parkway'!D59+'2 Confluence Parkway'!D60+'2 Confluence Parkway'!D68+'2 Confluence Parkway'!D69+'2 Confluence Parkway'!D70</f>
        <v>107028003</v>
      </c>
      <c r="E55" s="108">
        <f>'2 Confluence Parkway'!E49+'2 Confluence Parkway'!E50+'2 Confluence Parkway'!E51+'2 Confluence Parkway'!E58+'2 Confluence Parkway'!E59+'2 Confluence Parkway'!E60+'2 Confluence Parkway'!E68+'2 Confluence Parkway'!E69+'2 Confluence Parkway'!E70</f>
        <v>107028003</v>
      </c>
      <c r="F55" s="96">
        <f>'2 Confluence Parkway'!F49+'2 Confluence Parkway'!F50+'2 Confluence Parkway'!F51+'2 Confluence Parkway'!F58+'2 Confluence Parkway'!F59+'2 Confluence Parkway'!F60+'2 Confluence Parkway'!F68+'2 Confluence Parkway'!F69+'2 Confluence Parkway'!F70</f>
        <v>0</v>
      </c>
      <c r="G55" s="27">
        <f>'2 Confluence Parkway'!G49+'2 Confluence Parkway'!G50+'2 Confluence Parkway'!G51+'2 Confluence Parkway'!G58+'2 Confluence Parkway'!G59+'2 Confluence Parkway'!G60+'2 Confluence Parkway'!G68+'2 Confluence Parkway'!G69+'2 Confluence Parkway'!G70</f>
        <v>0</v>
      </c>
      <c r="H55" s="27">
        <f>'2 Confluence Parkway'!H49+'2 Confluence Parkway'!H50+'2 Confluence Parkway'!H51+'2 Confluence Parkway'!H58+'2 Confluence Parkway'!H59+'2 Confluence Parkway'!H60+'2 Confluence Parkway'!H68+'2 Confluence Parkway'!H69+'2 Confluence Parkway'!H70</f>
        <v>0</v>
      </c>
      <c r="I55" s="27">
        <f>'2 Confluence Parkway'!I49+'2 Confluence Parkway'!I50+'2 Confluence Parkway'!I51+'2 Confluence Parkway'!I58+'2 Confluence Parkway'!I59+'2 Confluence Parkway'!I60+'2 Confluence Parkway'!I68+'2 Confluence Parkway'!I69+'2 Confluence Parkway'!I70</f>
        <v>0</v>
      </c>
      <c r="J55" s="55">
        <f>'2 Confluence Parkway'!J49+'2 Confluence Parkway'!J50+'2 Confluence Parkway'!J51+'2 Confluence Parkway'!J58+'2 Confluence Parkway'!J59+'2 Confluence Parkway'!J60+'2 Confluence Parkway'!J68+'2 Confluence Parkway'!J69+'2 Confluence Parkway'!J70</f>
        <v>0</v>
      </c>
      <c r="K55" s="27">
        <f>'2 Confluence Parkway'!K49+'2 Confluence Parkway'!K50+'2 Confluence Parkway'!L51+'2 Confluence Parkway'!K58+'2 Confluence Parkway'!K59+'2 Confluence Parkway'!K60+'2 Confluence Parkway'!K68+'2 Confluence Parkway'!K69+'2 Confluence Parkway'!K70</f>
        <v>0</v>
      </c>
      <c r="L55" s="27">
        <f>'2 Confluence Parkway'!M49+'2 Confluence Parkway'!M50+'2 Confluence Parkway'!M51+'2 Confluence Parkway'!M58+'2 Confluence Parkway'!M59+'2 Confluence Parkway'!M60+'2 Confluence Parkway'!L68+'2 Confluence Parkway'!L69+'2 Confluence Parkway'!L70</f>
        <v>9200000</v>
      </c>
      <c r="M55" s="27">
        <f>'2 Confluence Parkway'!N49+'2 Confluence Parkway'!N50+'2 Confluence Parkway'!N51+'2 Confluence Parkway'!N58+'2 Confluence Parkway'!N59+'2 Confluence Parkway'!N60+'2 Confluence Parkway'!M68+'2 Confluence Parkway'!M69+'2 Confluence Parkway'!M70</f>
        <v>61000000</v>
      </c>
      <c r="N55" s="27">
        <f>'2 Confluence Parkway'!O49+'2 Confluence Parkway'!O50+'2 Confluence Parkway'!O51+'2 Confluence Parkway'!O58+'2 Confluence Parkway'!O59+'2 Confluence Parkway'!O60+'2 Confluence Parkway'!N68+'2 Confluence Parkway'!N69+'2 Confluence Parkway'!N70</f>
        <v>32255003</v>
      </c>
      <c r="O55" s="27">
        <f>'2 Confluence Parkway'!P49+'2 Confluence Parkway'!P50+'2 Confluence Parkway'!P51+'2 Confluence Parkway'!P58+'2 Confluence Parkway'!P59+'2 Confluence Parkway'!P60+'2 Confluence Parkway'!O68+'2 Confluence Parkway'!O69+'2 Confluence Parkway'!O70</f>
        <v>4573000</v>
      </c>
      <c r="P55" s="27">
        <f>'2 Confluence Parkway'!Q49+'2 Confluence Parkway'!Q50+'2 Confluence Parkway'!Q51+'2 Confluence Parkway'!Q58+'2 Confluence Parkway'!Q59+'2 Confluence Parkway'!Q60+'2 Confluence Parkway'!P68+'2 Confluence Parkway'!P69+'2 Confluence Parkway'!P70</f>
        <v>0</v>
      </c>
      <c r="Q55" s="55">
        <f>'2 Confluence Parkway'!Q49+'2 Confluence Parkway'!Q50+'2 Confluence Parkway'!Q51+'2 Confluence Parkway'!Q58+'2 Confluence Parkway'!Q59+'2 Confluence Parkway'!Q60+'2 Confluence Parkway'!Q68+'2 Confluence Parkway'!Q69+'2 Confluence Parkway'!Q70</f>
        <v>0</v>
      </c>
      <c r="R55" s="29">
        <f t="shared" si="5"/>
        <v>107028003</v>
      </c>
    </row>
    <row r="56" spans="1:18" x14ac:dyDescent="0.25">
      <c r="D56" s="7"/>
      <c r="E56" s="108"/>
      <c r="F56" s="96"/>
      <c r="G56" s="28"/>
      <c r="H56" s="43"/>
      <c r="I56" s="43"/>
      <c r="J56" s="104"/>
      <c r="R56" s="29">
        <f t="shared" si="5"/>
        <v>0</v>
      </c>
    </row>
    <row r="57" spans="1:18" x14ac:dyDescent="0.25">
      <c r="A57" s="2" t="s">
        <v>55</v>
      </c>
      <c r="B57" s="2"/>
      <c r="C57" s="2"/>
      <c r="D57" s="39">
        <f>SUM(D59:D61)</f>
        <v>16364756</v>
      </c>
      <c r="E57" s="127">
        <f>SUM(E59:E61)</f>
        <v>17242134</v>
      </c>
      <c r="F57" s="96">
        <f>SUM(F59:F61)</f>
        <v>264082</v>
      </c>
      <c r="G57" s="66">
        <f>SUM(G59:G61)</f>
        <v>139257</v>
      </c>
      <c r="H57" s="66">
        <f t="shared" ref="H57:Q57" si="8">SUM(H59:H61)</f>
        <v>474039</v>
      </c>
      <c r="I57" s="66">
        <f t="shared" si="8"/>
        <v>0</v>
      </c>
      <c r="J57" s="67">
        <f t="shared" si="8"/>
        <v>0</v>
      </c>
      <c r="K57" s="66">
        <f t="shared" si="8"/>
        <v>741601</v>
      </c>
      <c r="L57" s="66">
        <f t="shared" si="8"/>
        <v>600216</v>
      </c>
      <c r="M57" s="66">
        <f t="shared" si="8"/>
        <v>7306266</v>
      </c>
      <c r="N57" s="66">
        <f t="shared" si="8"/>
        <v>5016969</v>
      </c>
      <c r="O57" s="66">
        <f t="shared" si="8"/>
        <v>2699704</v>
      </c>
      <c r="P57" s="66">
        <f t="shared" si="8"/>
        <v>0</v>
      </c>
      <c r="Q57" s="67">
        <f t="shared" si="8"/>
        <v>0</v>
      </c>
      <c r="R57" s="58">
        <f t="shared" si="5"/>
        <v>16978052</v>
      </c>
    </row>
    <row r="58" spans="1:18" x14ac:dyDescent="0.25">
      <c r="D58" s="7"/>
      <c r="E58" s="108"/>
      <c r="F58" s="96"/>
      <c r="G58" s="28"/>
      <c r="H58" s="43"/>
      <c r="I58" s="43"/>
      <c r="J58" s="104"/>
      <c r="R58" s="29">
        <f t="shared" si="5"/>
        <v>0</v>
      </c>
    </row>
    <row r="59" spans="1:18" x14ac:dyDescent="0.25">
      <c r="C59" t="s">
        <v>64</v>
      </c>
      <c r="D59" s="16">
        <f>'3 Cascade Int'!D47+'3 Cascade Int'!D48+'3 Cascade Int'!D57+'3 Cascade Int'!D58</f>
        <v>1341817</v>
      </c>
      <c r="E59" s="108">
        <f>'3 Cascade Int'!E47+'3 Cascade Int'!E48+'3 Cascade Int'!E57+'3 Cascade Int'!E58</f>
        <v>2108891</v>
      </c>
      <c r="F59" s="96">
        <f>'3 Cascade Int'!F47+'3 Cascade Int'!F48+'3 Cascade Int'!F57+'3 Cascade Int'!F58</f>
        <v>264082</v>
      </c>
      <c r="G59" s="79">
        <f>'3 Cascade Int'!G47+'3 Cascade Int'!G48+'3 Cascade Int'!G57+'3 Cascade Int'!G58</f>
        <v>139257</v>
      </c>
      <c r="H59" s="79">
        <f>'3 Cascade Int'!H47+'3 Cascade Int'!H48+'3 Cascade Int'!H57+'3 Cascade Int'!H58</f>
        <v>363735</v>
      </c>
      <c r="I59" s="79">
        <f>'3 Cascade Int'!I47+'3 Cascade Int'!I48+'3 Cascade Int'!I57+'3 Cascade Int'!I58</f>
        <v>0</v>
      </c>
      <c r="J59" s="80">
        <f>'3 Cascade Int'!J47+'3 Cascade Int'!J48+'3 Cascade Int'!J57+'3 Cascade Int'!J58</f>
        <v>0</v>
      </c>
      <c r="K59" s="79">
        <f>'3 Cascade Int'!K47+'3 Cascade Int'!K48+'3 Cascade Int'!K57+'3 Cascade Int'!K58</f>
        <v>741601</v>
      </c>
      <c r="L59" s="79">
        <f>'3 Cascade Int'!L47+'3 Cascade Int'!L48+'3 Cascade Int'!L57+'3 Cascade Int'!L58</f>
        <v>600216</v>
      </c>
      <c r="M59" s="79">
        <f>'3 Cascade Int'!M47+'3 Cascade Int'!M48+'3 Cascade Int'!M57+'3 Cascade Int'!M58</f>
        <v>0</v>
      </c>
      <c r="N59" s="79">
        <f>'3 Cascade Int'!N47+'3 Cascade Int'!N48+'3 Cascade Int'!N57+'3 Cascade Int'!N58</f>
        <v>0</v>
      </c>
      <c r="O59" s="79">
        <f>'3 Cascade Int'!O47+'3 Cascade Int'!O48+'3 Cascade Int'!O57+'3 Cascade Int'!O58</f>
        <v>0</v>
      </c>
      <c r="P59" s="79">
        <f>'3 Cascade Int'!P47+'3 Cascade Int'!P48+'3 Cascade Int'!P57+'3 Cascade Int'!P58</f>
        <v>0</v>
      </c>
      <c r="Q59" s="80">
        <f>'3 Cascade Int'!Q47+'3 Cascade Int'!Q48+'3 Cascade Int'!Q57+'3 Cascade Int'!Q58</f>
        <v>0</v>
      </c>
      <c r="R59" s="29">
        <f t="shared" si="5"/>
        <v>1844809</v>
      </c>
    </row>
    <row r="60" spans="1:18" x14ac:dyDescent="0.25">
      <c r="C60" t="s">
        <v>22</v>
      </c>
      <c r="D60" s="16">
        <f>'3 Cascade Int'!D49+'3 Cascade Int'!D59</f>
        <v>0</v>
      </c>
      <c r="E60" s="108">
        <f>'3 Cascade Int'!E49+'3 Cascade Int'!E59</f>
        <v>110304</v>
      </c>
      <c r="F60" s="96">
        <f>'3 Cascade Int'!F49+'3 Cascade Int'!F59</f>
        <v>0</v>
      </c>
      <c r="G60" s="79">
        <f>'3 Cascade Int'!G49+'3 Cascade Int'!G59</f>
        <v>0</v>
      </c>
      <c r="H60" s="79">
        <f>'3 Cascade Int'!H49+'3 Cascade Int'!H59</f>
        <v>110304</v>
      </c>
      <c r="I60" s="79">
        <f>'3 Cascade Int'!I49+'3 Cascade Int'!I59</f>
        <v>0</v>
      </c>
      <c r="J60" s="80">
        <f>'3 Cascade Int'!J49+'3 Cascade Int'!J59</f>
        <v>0</v>
      </c>
      <c r="K60" s="79">
        <f>'3 Cascade Int'!K49+'3 Cascade Int'!K59</f>
        <v>0</v>
      </c>
      <c r="L60" s="79">
        <f>'3 Cascade Int'!L49+'3 Cascade Int'!L59</f>
        <v>0</v>
      </c>
      <c r="M60" s="79">
        <f>'3 Cascade Int'!M49+'3 Cascade Int'!M59</f>
        <v>0</v>
      </c>
      <c r="N60" s="79">
        <f>'3 Cascade Int'!N49+'3 Cascade Int'!N59</f>
        <v>0</v>
      </c>
      <c r="O60" s="79">
        <f>'3 Cascade Int'!O49+'3 Cascade Int'!O59</f>
        <v>0</v>
      </c>
      <c r="P60" s="79">
        <f>'3 Cascade Int'!P49+'3 Cascade Int'!P59</f>
        <v>0</v>
      </c>
      <c r="Q60" s="80">
        <f>'3 Cascade Int'!Q49+'3 Cascade Int'!Q59</f>
        <v>0</v>
      </c>
      <c r="R60" s="29">
        <f t="shared" si="5"/>
        <v>110304</v>
      </c>
    </row>
    <row r="61" spans="1:18" x14ac:dyDescent="0.25">
      <c r="C61" t="s">
        <v>178</v>
      </c>
      <c r="D61" s="16">
        <f>'3 Cascade Int'!D50+'3 Cascade Int'!D51+'3 Cascade Int'!D52+'3 Cascade Int'!D60+'3 Cascade Int'!D61+'3 Cascade Int'!D62</f>
        <v>15022939</v>
      </c>
      <c r="E61" s="108">
        <f>'3 Cascade Int'!E50+'3 Cascade Int'!E51+'3 Cascade Int'!E52+'3 Cascade Int'!E60+'3 Cascade Int'!E61+'3 Cascade Int'!E62</f>
        <v>15022939</v>
      </c>
      <c r="F61" s="96">
        <f>'3 Cascade Int'!F50+'3 Cascade Int'!F51+'3 Cascade Int'!F52+'3 Cascade Int'!F60+'3 Cascade Int'!F61+'3 Cascade Int'!F62</f>
        <v>0</v>
      </c>
      <c r="G61" s="79">
        <f>'3 Cascade Int'!G50+'3 Cascade Int'!G51+'3 Cascade Int'!G52+'3 Cascade Int'!G60+'3 Cascade Int'!G61+'3 Cascade Int'!G62</f>
        <v>0</v>
      </c>
      <c r="H61" s="79">
        <f>'3 Cascade Int'!H50+'3 Cascade Int'!H51+'3 Cascade Int'!H52+'3 Cascade Int'!H60+'3 Cascade Int'!H61+'3 Cascade Int'!H62</f>
        <v>0</v>
      </c>
      <c r="I61" s="79">
        <f>'3 Cascade Int'!I50+'3 Cascade Int'!I51+'3 Cascade Int'!I52+'3 Cascade Int'!I60+'3 Cascade Int'!I61+'3 Cascade Int'!I62</f>
        <v>0</v>
      </c>
      <c r="J61" s="80">
        <f>'3 Cascade Int'!J50+'3 Cascade Int'!J51+'3 Cascade Int'!J52+'3 Cascade Int'!J60+'3 Cascade Int'!J61+'3 Cascade Int'!J62</f>
        <v>0</v>
      </c>
      <c r="K61" s="79">
        <f>'3 Cascade Int'!K50+'3 Cascade Int'!K51+'3 Cascade Int'!K52+'3 Cascade Int'!K60+'3 Cascade Int'!K61+'3 Cascade Int'!K62</f>
        <v>0</v>
      </c>
      <c r="L61" s="79">
        <f>'3 Cascade Int'!L50+'3 Cascade Int'!L51+'3 Cascade Int'!L52+'3 Cascade Int'!L60+'3 Cascade Int'!L61+'3 Cascade Int'!L62</f>
        <v>0</v>
      </c>
      <c r="M61" s="79">
        <f>'3 Cascade Int'!M50+'3 Cascade Int'!M51+'3 Cascade Int'!M52+'3 Cascade Int'!M60+'3 Cascade Int'!M61+'3 Cascade Int'!M62</f>
        <v>7306266</v>
      </c>
      <c r="N61" s="79">
        <f>'3 Cascade Int'!N50+'3 Cascade Int'!N51+'3 Cascade Int'!N52+'3 Cascade Int'!N60+'3 Cascade Int'!N61+'3 Cascade Int'!N62</f>
        <v>5016969</v>
      </c>
      <c r="O61" s="79">
        <f>'3 Cascade Int'!O50+'3 Cascade Int'!O51+'3 Cascade Int'!O52+'3 Cascade Int'!O60+'3 Cascade Int'!O61+'3 Cascade Int'!O62</f>
        <v>2699704</v>
      </c>
      <c r="P61" s="79">
        <f>'3 Cascade Int'!P50+'3 Cascade Int'!P51+'3 Cascade Int'!P52+'3 Cascade Int'!P60+'3 Cascade Int'!P61+'3 Cascade Int'!P62</f>
        <v>0</v>
      </c>
      <c r="Q61" s="80">
        <f>'3 Cascade Int'!Q50+'3 Cascade Int'!Q51+'3 Cascade Int'!Q52+'3 Cascade Int'!Q60+'3 Cascade Int'!Q61+'3 Cascade Int'!Q62</f>
        <v>0</v>
      </c>
      <c r="R61" s="29">
        <f t="shared" si="5"/>
        <v>15022939</v>
      </c>
    </row>
    <row r="62" spans="1:18" x14ac:dyDescent="0.25">
      <c r="D62" s="16"/>
      <c r="E62" s="108"/>
      <c r="F62" s="100"/>
      <c r="G62" s="28"/>
      <c r="H62" s="43"/>
      <c r="I62" s="43"/>
      <c r="J62" s="104"/>
      <c r="R62" s="29">
        <f t="shared" ref="R62:R77" si="9">SUM(G62:Q62)</f>
        <v>0</v>
      </c>
    </row>
    <row r="63" spans="1:18" x14ac:dyDescent="0.25">
      <c r="A63" s="2" t="s">
        <v>52</v>
      </c>
      <c r="B63" s="2"/>
      <c r="C63" s="2"/>
      <c r="D63" s="39">
        <f>SUM(D65:D67)</f>
        <v>55857089</v>
      </c>
      <c r="E63" s="127">
        <f>SUM(E65:E67)</f>
        <v>66122010</v>
      </c>
      <c r="F63" s="96">
        <f>SUM(F65:F67)</f>
        <v>7619794</v>
      </c>
      <c r="G63" s="66">
        <f>SUM(G65:G67)</f>
        <v>3243</v>
      </c>
      <c r="H63" s="66">
        <f t="shared" ref="H63:Q63" si="10">SUM(H65:H67)</f>
        <v>308122</v>
      </c>
      <c r="I63" s="66">
        <f t="shared" si="10"/>
        <v>2333762</v>
      </c>
      <c r="J63" s="67">
        <f t="shared" si="10"/>
        <v>6083766</v>
      </c>
      <c r="K63" s="66">
        <f t="shared" si="10"/>
        <v>9333764</v>
      </c>
      <c r="L63" s="66">
        <f t="shared" si="10"/>
        <v>6333764</v>
      </c>
      <c r="M63" s="66">
        <f t="shared" si="10"/>
        <v>7705795</v>
      </c>
      <c r="N63" s="66">
        <f t="shared" si="10"/>
        <v>11400000</v>
      </c>
      <c r="O63" s="66">
        <f t="shared" si="10"/>
        <v>10000000</v>
      </c>
      <c r="P63" s="66">
        <f t="shared" si="10"/>
        <v>5000000</v>
      </c>
      <c r="Q63" s="67">
        <f t="shared" si="10"/>
        <v>0</v>
      </c>
      <c r="R63" s="58">
        <f t="shared" si="9"/>
        <v>58502216</v>
      </c>
    </row>
    <row r="64" spans="1:18" x14ac:dyDescent="0.25">
      <c r="D64" s="16"/>
      <c r="E64" s="108"/>
      <c r="F64" s="100"/>
      <c r="G64" s="28"/>
      <c r="H64" s="28"/>
      <c r="I64" s="28"/>
      <c r="J64" s="41"/>
      <c r="K64" s="28"/>
      <c r="L64" s="28"/>
      <c r="M64" s="28"/>
      <c r="N64" s="28"/>
      <c r="O64" s="28"/>
      <c r="P64" s="28"/>
      <c r="Q64" s="28"/>
      <c r="R64" s="29">
        <f t="shared" si="9"/>
        <v>0</v>
      </c>
    </row>
    <row r="65" spans="1:18" x14ac:dyDescent="0.25">
      <c r="C65" t="s">
        <v>64</v>
      </c>
      <c r="D65" s="16">
        <f>'4 Sunset Highway'!D45+'4 Sunset Highway'!D46</f>
        <v>6357087</v>
      </c>
      <c r="E65" s="108">
        <f>'4 Sunset Highway'!E45+'4 Sunset Highway'!E46</f>
        <v>14722010</v>
      </c>
      <c r="F65" s="100">
        <f>'4 Sunset Highway'!F45+'4 Sunset Highway'!F46</f>
        <v>6219794</v>
      </c>
      <c r="G65" s="28">
        <f>'4 Sunset Highway'!G45+'4 Sunset Highway'!G46</f>
        <v>3243</v>
      </c>
      <c r="H65" s="28">
        <f>'4 Sunset Highway'!H45+'4 Sunset Highway'!H46</f>
        <v>308122</v>
      </c>
      <c r="I65" s="28">
        <f>'4 Sunset Highway'!I45+'4 Sunset Highway'!I46</f>
        <v>1833764</v>
      </c>
      <c r="J65" s="41">
        <f>'4 Sunset Highway'!J45+'4 Sunset Highway'!J46</f>
        <v>1833764</v>
      </c>
      <c r="K65" s="28">
        <f>'4 Sunset Highway'!K45+'4 Sunset Highway'!K46</f>
        <v>1833764</v>
      </c>
      <c r="L65" s="28">
        <f>'4 Sunset Highway'!L45+'4 Sunset Highway'!L46</f>
        <v>1833764</v>
      </c>
      <c r="M65" s="28">
        <f>'4 Sunset Highway'!M45+'4 Sunset Highway'!M46</f>
        <v>855795</v>
      </c>
      <c r="N65" s="28">
        <f>'4 Sunset Highway'!N45+'4 Sunset Highway'!N46</f>
        <v>0</v>
      </c>
      <c r="O65" s="28">
        <f>'4 Sunset Highway'!O45+'4 Sunset Highway'!O46</f>
        <v>0</v>
      </c>
      <c r="P65" s="28">
        <f>'4 Sunset Highway'!P45+'4 Sunset Highway'!P46</f>
        <v>0</v>
      </c>
      <c r="Q65" s="28">
        <f>'4 Sunset Highway'!Q45+'4 Sunset Highway'!Q46</f>
        <v>0</v>
      </c>
      <c r="R65" s="29">
        <f t="shared" si="9"/>
        <v>8502216</v>
      </c>
    </row>
    <row r="66" spans="1:18" x14ac:dyDescent="0.25">
      <c r="C66" t="s">
        <v>22</v>
      </c>
      <c r="D66" s="16">
        <f>'4 Sunset Highway'!D47</f>
        <v>18500002</v>
      </c>
      <c r="E66" s="108">
        <f>'4 Sunset Highway'!E47</f>
        <v>19000000</v>
      </c>
      <c r="F66" s="100">
        <f>'4 Sunset Highway'!F47</f>
        <v>0</v>
      </c>
      <c r="G66" s="28">
        <f>'4 Sunset Highway'!G47</f>
        <v>0</v>
      </c>
      <c r="H66" s="28">
        <f>'4 Sunset Highway'!H47</f>
        <v>0</v>
      </c>
      <c r="I66" s="28">
        <f>'4 Sunset Highway'!I47</f>
        <v>499998</v>
      </c>
      <c r="J66" s="41">
        <f>'4 Sunset Highway'!J47</f>
        <v>4250002</v>
      </c>
      <c r="K66" s="28">
        <f>'4 Sunset Highway'!K47</f>
        <v>7500000</v>
      </c>
      <c r="L66" s="28">
        <f>'4 Sunset Highway'!L47</f>
        <v>4500000</v>
      </c>
      <c r="M66" s="28">
        <f>'4 Sunset Highway'!M47</f>
        <v>1500000</v>
      </c>
      <c r="N66" s="28">
        <f>'4 Sunset Highway'!N47</f>
        <v>750000</v>
      </c>
      <c r="O66" s="28">
        <f>'4 Sunset Highway'!O47</f>
        <v>0</v>
      </c>
      <c r="P66" s="28">
        <f>'4 Sunset Highway'!P47</f>
        <v>0</v>
      </c>
      <c r="Q66" s="28">
        <f>'4 Sunset Highway'!Q47</f>
        <v>0</v>
      </c>
      <c r="R66" s="29">
        <f t="shared" si="9"/>
        <v>19000000</v>
      </c>
    </row>
    <row r="67" spans="1:18" x14ac:dyDescent="0.25">
      <c r="C67" t="s">
        <v>178</v>
      </c>
      <c r="D67" s="16">
        <f>'4 Sunset Highway'!D48+'4 Sunset Highway'!D49+'4 Sunset Highway'!D50</f>
        <v>31000000</v>
      </c>
      <c r="E67" s="108">
        <f>'4 Sunset Highway'!E48+'4 Sunset Highway'!E49+'4 Sunset Highway'!E50</f>
        <v>32400000</v>
      </c>
      <c r="F67" s="100">
        <f>'4 Sunset Highway'!F48+'4 Sunset Highway'!F49+'4 Sunset Highway'!F50</f>
        <v>1400000</v>
      </c>
      <c r="G67" s="28">
        <f>'4 Sunset Highway'!G48+'4 Sunset Highway'!G49+'4 Sunset Highway'!G50</f>
        <v>0</v>
      </c>
      <c r="H67" s="28">
        <f>'4 Sunset Highway'!H48+'4 Sunset Highway'!H49+'4 Sunset Highway'!H50</f>
        <v>0</v>
      </c>
      <c r="I67" s="28">
        <f>'4 Sunset Highway'!I48+'4 Sunset Highway'!I49+'4 Sunset Highway'!I50</f>
        <v>0</v>
      </c>
      <c r="J67" s="41">
        <f>'4 Sunset Highway'!J48+'4 Sunset Highway'!J49+'4 Sunset Highway'!J50</f>
        <v>0</v>
      </c>
      <c r="K67" s="28">
        <f>'4 Sunset Highway'!K48+'4 Sunset Highway'!K49+'4 Sunset Highway'!K50</f>
        <v>0</v>
      </c>
      <c r="L67" s="28">
        <f>'4 Sunset Highway'!L48+'4 Sunset Highway'!L49+'4 Sunset Highway'!L50</f>
        <v>0</v>
      </c>
      <c r="M67" s="28">
        <f>'4 Sunset Highway'!M48+'4 Sunset Highway'!M49+'4 Sunset Highway'!M50</f>
        <v>5350000</v>
      </c>
      <c r="N67" s="28">
        <f>'4 Sunset Highway'!N48+'4 Sunset Highway'!N49+'4 Sunset Highway'!N50</f>
        <v>10650000</v>
      </c>
      <c r="O67" s="28">
        <f>'4 Sunset Highway'!O48+'4 Sunset Highway'!O49+'4 Sunset Highway'!O50</f>
        <v>10000000</v>
      </c>
      <c r="P67" s="28">
        <f>'4 Sunset Highway'!P48+'4 Sunset Highway'!P49+'4 Sunset Highway'!P50</f>
        <v>5000000</v>
      </c>
      <c r="Q67" s="28">
        <f>'4 Sunset Highway'!Q48+'4 Sunset Highway'!Q49+'4 Sunset Highway'!Q50</f>
        <v>0</v>
      </c>
      <c r="R67" s="29">
        <f t="shared" si="9"/>
        <v>31000000</v>
      </c>
    </row>
    <row r="68" spans="1:18" ht="15.75" thickBot="1" x14ac:dyDescent="0.3">
      <c r="A68" s="15"/>
      <c r="B68" s="15"/>
      <c r="C68" s="15"/>
      <c r="D68" s="81"/>
      <c r="E68" s="128"/>
      <c r="F68" s="129"/>
      <c r="G68" s="82"/>
      <c r="H68" s="82"/>
      <c r="I68" s="82"/>
      <c r="J68" s="130"/>
      <c r="K68" s="82"/>
      <c r="L68" s="82"/>
      <c r="M68" s="82"/>
      <c r="N68" s="82"/>
      <c r="O68" s="82"/>
      <c r="P68" s="82"/>
      <c r="Q68" s="82"/>
      <c r="R68" s="30">
        <f t="shared" si="9"/>
        <v>0</v>
      </c>
    </row>
    <row r="69" spans="1:18" ht="15.75" thickTop="1" x14ac:dyDescent="0.25">
      <c r="D69" s="16"/>
      <c r="E69" s="108"/>
      <c r="F69" s="100"/>
      <c r="G69" s="43"/>
      <c r="H69" s="43"/>
      <c r="I69" s="43"/>
      <c r="J69" s="104"/>
      <c r="R69" s="29">
        <f t="shared" si="9"/>
        <v>0</v>
      </c>
    </row>
    <row r="70" spans="1:18" x14ac:dyDescent="0.25">
      <c r="A70" s="2" t="s">
        <v>65</v>
      </c>
      <c r="D70" s="39">
        <f>SUM(D72:D74)</f>
        <v>262436098</v>
      </c>
      <c r="E70" s="127">
        <f>SUM(E72:E74)</f>
        <v>286265072.85000002</v>
      </c>
      <c r="F70" s="96">
        <f>SUM(F72:F74)</f>
        <v>8924081.1400000006</v>
      </c>
      <c r="G70" s="66">
        <f>SUM(G72:G74)</f>
        <v>1794194.67</v>
      </c>
      <c r="H70" s="66">
        <f t="shared" ref="H70:Q70" si="11">SUM(H72:H74)</f>
        <v>2599662.0699999998</v>
      </c>
      <c r="I70" s="66">
        <f t="shared" si="11"/>
        <v>5319940.6400000006</v>
      </c>
      <c r="J70" s="67">
        <f t="shared" si="11"/>
        <v>11248493</v>
      </c>
      <c r="K70" s="66">
        <f t="shared" si="11"/>
        <v>22013854</v>
      </c>
      <c r="L70" s="66">
        <f t="shared" si="11"/>
        <v>46703014</v>
      </c>
      <c r="M70" s="66">
        <f t="shared" si="11"/>
        <v>98522878</v>
      </c>
      <c r="N70" s="66">
        <f t="shared" si="11"/>
        <v>61882324</v>
      </c>
      <c r="O70" s="66">
        <f t="shared" si="11"/>
        <v>18357588</v>
      </c>
      <c r="P70" s="66">
        <f t="shared" si="11"/>
        <v>5372674</v>
      </c>
      <c r="Q70" s="67">
        <f t="shared" si="11"/>
        <v>0</v>
      </c>
      <c r="R70" s="29">
        <f t="shared" si="9"/>
        <v>273814622.38</v>
      </c>
    </row>
    <row r="71" spans="1:18" x14ac:dyDescent="0.25">
      <c r="D71" s="16"/>
      <c r="E71" s="108"/>
      <c r="F71" s="100"/>
      <c r="G71" s="43"/>
      <c r="H71" s="43"/>
      <c r="I71" s="43"/>
      <c r="J71" s="104"/>
      <c r="R71" s="29">
        <f t="shared" si="9"/>
        <v>0</v>
      </c>
    </row>
    <row r="72" spans="1:18" x14ac:dyDescent="0.25">
      <c r="C72" t="s">
        <v>64</v>
      </c>
      <c r="D72" s="16">
        <f t="shared" ref="D72:P72" si="12">D47+D53+D59+D65</f>
        <v>22161862</v>
      </c>
      <c r="E72" s="108">
        <f>E47+E53+E59+E65</f>
        <v>39009064.850000001</v>
      </c>
      <c r="F72" s="100">
        <f t="shared" si="12"/>
        <v>7475250.3100000005</v>
      </c>
      <c r="G72" s="28">
        <f t="shared" si="12"/>
        <v>497525</v>
      </c>
      <c r="H72" s="28">
        <f t="shared" si="12"/>
        <v>1810908.21</v>
      </c>
      <c r="I72" s="28">
        <f t="shared" si="12"/>
        <v>3506351</v>
      </c>
      <c r="J72" s="41">
        <f t="shared" si="12"/>
        <v>5364563</v>
      </c>
      <c r="K72" s="28">
        <f t="shared" si="12"/>
        <v>8951436</v>
      </c>
      <c r="L72" s="28">
        <f t="shared" si="12"/>
        <v>10485434</v>
      </c>
      <c r="M72" s="28">
        <f t="shared" si="12"/>
        <v>891228</v>
      </c>
      <c r="N72" s="28">
        <f t="shared" si="12"/>
        <v>0</v>
      </c>
      <c r="O72" s="28">
        <f t="shared" si="12"/>
        <v>0</v>
      </c>
      <c r="P72" s="28">
        <f t="shared" si="12"/>
        <v>0</v>
      </c>
      <c r="R72" s="29">
        <f t="shared" si="9"/>
        <v>31507445.210000001</v>
      </c>
    </row>
    <row r="73" spans="1:18" x14ac:dyDescent="0.25">
      <c r="C73" t="s">
        <v>22</v>
      </c>
      <c r="D73" s="16">
        <f t="shared" ref="D73:P73" si="13">D48+D54+D60+D66</f>
        <v>39465094</v>
      </c>
      <c r="E73" s="108">
        <f>E48+E54+E60+E66</f>
        <v>43519072</v>
      </c>
      <c r="F73" s="100">
        <f t="shared" si="13"/>
        <v>48830.83</v>
      </c>
      <c r="G73" s="28">
        <f t="shared" si="13"/>
        <v>1296669.67</v>
      </c>
      <c r="H73" s="28">
        <f t="shared" si="13"/>
        <v>788753.86</v>
      </c>
      <c r="I73" s="28">
        <f t="shared" si="13"/>
        <v>1813589.6400000001</v>
      </c>
      <c r="J73" s="41">
        <f t="shared" si="13"/>
        <v>4356136</v>
      </c>
      <c r="K73" s="28">
        <f t="shared" si="13"/>
        <v>12708369</v>
      </c>
      <c r="L73" s="28">
        <f t="shared" si="13"/>
        <v>15940056</v>
      </c>
      <c r="M73" s="28">
        <f t="shared" si="13"/>
        <v>2316667</v>
      </c>
      <c r="N73" s="28">
        <f t="shared" si="13"/>
        <v>750000</v>
      </c>
      <c r="O73" s="28">
        <f t="shared" si="13"/>
        <v>0</v>
      </c>
      <c r="P73" s="28">
        <f t="shared" si="13"/>
        <v>0</v>
      </c>
      <c r="R73" s="29">
        <f t="shared" si="9"/>
        <v>39970241.170000002</v>
      </c>
    </row>
    <row r="74" spans="1:18" x14ac:dyDescent="0.25">
      <c r="C74" t="s">
        <v>178</v>
      </c>
      <c r="D74" s="16">
        <f t="shared" ref="D74:P74" si="14">D49+D55+D61+D67</f>
        <v>200809142</v>
      </c>
      <c r="E74" s="108">
        <f>E49+E55+E61+E67</f>
        <v>203736936</v>
      </c>
      <c r="F74" s="100">
        <f t="shared" si="14"/>
        <v>1400000</v>
      </c>
      <c r="G74" s="28">
        <f t="shared" si="14"/>
        <v>0</v>
      </c>
      <c r="H74" s="28">
        <f t="shared" si="14"/>
        <v>0</v>
      </c>
      <c r="I74" s="28">
        <f t="shared" si="14"/>
        <v>0</v>
      </c>
      <c r="J74" s="41">
        <f t="shared" si="14"/>
        <v>1527794</v>
      </c>
      <c r="K74" s="28">
        <f t="shared" si="14"/>
        <v>354049</v>
      </c>
      <c r="L74" s="28">
        <f t="shared" si="14"/>
        <v>20277524</v>
      </c>
      <c r="M74" s="28">
        <f t="shared" si="14"/>
        <v>95314983</v>
      </c>
      <c r="N74" s="28">
        <f t="shared" si="14"/>
        <v>61132324</v>
      </c>
      <c r="O74" s="28">
        <f t="shared" si="14"/>
        <v>18357588</v>
      </c>
      <c r="P74" s="28">
        <f t="shared" si="14"/>
        <v>5372674</v>
      </c>
      <c r="R74" s="29">
        <f t="shared" si="9"/>
        <v>202336936</v>
      </c>
    </row>
    <row r="75" spans="1:18" x14ac:dyDescent="0.25">
      <c r="D75" s="17"/>
      <c r="E75" s="17"/>
      <c r="F75" s="78"/>
      <c r="G75" s="43"/>
      <c r="H75" s="43"/>
      <c r="I75" s="43"/>
      <c r="J75" s="104"/>
      <c r="R75" s="29">
        <f t="shared" si="9"/>
        <v>0</v>
      </c>
    </row>
    <row r="76" spans="1:18" ht="15.75" thickBot="1" x14ac:dyDescent="0.3">
      <c r="A76" s="15" t="s">
        <v>31</v>
      </c>
      <c r="B76" s="15"/>
      <c r="C76" s="15"/>
      <c r="D76" s="19">
        <f t="shared" ref="D76:Q76" si="15">D63+D57+D51+D45</f>
        <v>262436098</v>
      </c>
      <c r="E76" s="19">
        <f>E63+E57+E51+E45</f>
        <v>286265072.85000002</v>
      </c>
      <c r="F76" s="33">
        <f t="shared" si="15"/>
        <v>8924081.1400000006</v>
      </c>
      <c r="G76" s="19">
        <f t="shared" si="15"/>
        <v>1794194.67</v>
      </c>
      <c r="H76" s="19">
        <f t="shared" si="15"/>
        <v>2599662.0699999998</v>
      </c>
      <c r="I76" s="19">
        <f t="shared" si="15"/>
        <v>5319940.6400000006</v>
      </c>
      <c r="J76" s="106">
        <f t="shared" si="15"/>
        <v>11248493</v>
      </c>
      <c r="K76" s="19">
        <f t="shared" si="15"/>
        <v>22013854</v>
      </c>
      <c r="L76" s="19">
        <f t="shared" si="15"/>
        <v>46703014</v>
      </c>
      <c r="M76" s="19">
        <f t="shared" si="15"/>
        <v>98522878</v>
      </c>
      <c r="N76" s="19">
        <f t="shared" si="15"/>
        <v>61882324</v>
      </c>
      <c r="O76" s="19">
        <f t="shared" si="15"/>
        <v>18357588</v>
      </c>
      <c r="P76" s="19">
        <f t="shared" si="15"/>
        <v>5372674</v>
      </c>
      <c r="Q76" s="19">
        <f t="shared" si="15"/>
        <v>0</v>
      </c>
      <c r="R76" s="30">
        <f t="shared" si="9"/>
        <v>273814622.38</v>
      </c>
    </row>
    <row r="77" spans="1:18" ht="15.75" thickTop="1" x14ac:dyDescent="0.25">
      <c r="A77" t="s">
        <v>32</v>
      </c>
      <c r="D77" s="17">
        <f t="shared" ref="D77:Q77" si="16">D40-D76</f>
        <v>400000</v>
      </c>
      <c r="E77" s="17"/>
      <c r="F77" s="78">
        <f t="shared" si="16"/>
        <v>0</v>
      </c>
      <c r="G77" s="17">
        <f t="shared" si="16"/>
        <v>26369.330000000075</v>
      </c>
      <c r="H77" s="79">
        <f t="shared" si="16"/>
        <v>0</v>
      </c>
      <c r="I77" s="79">
        <f t="shared" si="16"/>
        <v>0</v>
      </c>
      <c r="J77" s="80">
        <f t="shared" si="16"/>
        <v>-400000</v>
      </c>
      <c r="K77" s="17">
        <f t="shared" si="16"/>
        <v>-4764372</v>
      </c>
      <c r="L77" s="17">
        <f t="shared" si="16"/>
        <v>-6889684</v>
      </c>
      <c r="M77" s="17">
        <f t="shared" si="16"/>
        <v>-40845944</v>
      </c>
      <c r="N77" s="17">
        <f t="shared" si="16"/>
        <v>24144997</v>
      </c>
      <c r="O77" s="17">
        <f t="shared" si="16"/>
        <v>27682003</v>
      </c>
      <c r="P77" s="17">
        <f t="shared" si="16"/>
        <v>4573000</v>
      </c>
      <c r="Q77" s="17">
        <f t="shared" si="16"/>
        <v>0</v>
      </c>
      <c r="R77" s="29">
        <f t="shared" si="9"/>
        <v>3526369.3299999982</v>
      </c>
    </row>
    <row r="78" spans="1:18" x14ac:dyDescent="0.25">
      <c r="D78" s="17"/>
      <c r="E78" s="17"/>
      <c r="F78" s="32"/>
    </row>
    <row r="79" spans="1:18" x14ac:dyDescent="0.25">
      <c r="D79" s="17"/>
      <c r="E79" s="17"/>
      <c r="F79" s="32"/>
    </row>
    <row r="80" spans="1:18" x14ac:dyDescent="0.25">
      <c r="C80" t="s">
        <v>66</v>
      </c>
      <c r="D80" s="17">
        <f>'Summary Sheet - All Projects'!D56+'Summary Sheet - All Projects'!D65+'Summary Sheet - All Projects'!D74+'Summary Sheet - All Projects'!D86+'Summary Sheet - All Projects'!D95+'Summary Sheet - All Projects'!D104+'Summary Sheet - All Projects'!D114+'Summary Sheet - All Projects'!D123+'Summary Sheet - All Projects'!D132</f>
        <v>28619415</v>
      </c>
      <c r="E80" s="85" t="s">
        <v>222</v>
      </c>
      <c r="F80" s="32"/>
    </row>
    <row r="81" spans="3:7" x14ac:dyDescent="0.25">
      <c r="D81" s="18"/>
      <c r="E81" s="18"/>
      <c r="F81" s="32"/>
    </row>
    <row r="82" spans="3:7" x14ac:dyDescent="0.25">
      <c r="D82" s="13"/>
      <c r="E82" s="13"/>
    </row>
    <row r="83" spans="3:7" x14ac:dyDescent="0.25">
      <c r="D83" s="34">
        <f>D74-D80</f>
        <v>172189727</v>
      </c>
      <c r="E83" s="34"/>
      <c r="G83" s="62"/>
    </row>
    <row r="84" spans="3:7" x14ac:dyDescent="0.25">
      <c r="D84" s="34"/>
      <c r="E84" s="34"/>
      <c r="G84" s="62"/>
    </row>
    <row r="85" spans="3:7" x14ac:dyDescent="0.25">
      <c r="C85" t="s">
        <v>64</v>
      </c>
      <c r="D85" s="34">
        <f>D72</f>
        <v>22161862</v>
      </c>
      <c r="E85" s="35">
        <f>D85/$D$76</f>
        <v>8.4446698334921896E-2</v>
      </c>
    </row>
    <row r="86" spans="3:7" x14ac:dyDescent="0.25">
      <c r="C86" t="s">
        <v>22</v>
      </c>
      <c r="D86" s="34">
        <f>D73</f>
        <v>39465094</v>
      </c>
      <c r="E86" s="35">
        <f>D86/$D$76</f>
        <v>0.15037982312936232</v>
      </c>
    </row>
    <row r="87" spans="3:7" x14ac:dyDescent="0.25">
      <c r="C87" t="s">
        <v>23</v>
      </c>
      <c r="D87" s="34">
        <f>D74-D80</f>
        <v>172189727</v>
      </c>
      <c r="E87" s="35">
        <f>D87/$D$76</f>
        <v>0.65612058825840336</v>
      </c>
    </row>
    <row r="88" spans="3:7" x14ac:dyDescent="0.25">
      <c r="C88" s="70" t="s">
        <v>39</v>
      </c>
      <c r="D88" s="305">
        <f>D80</f>
        <v>28619415</v>
      </c>
      <c r="E88" s="306">
        <f>D88/$D$76</f>
        <v>0.10905289027731238</v>
      </c>
      <c r="F88" t="s">
        <v>221</v>
      </c>
    </row>
    <row r="89" spans="3:7" x14ac:dyDescent="0.25">
      <c r="C89" s="70"/>
      <c r="D89" s="307"/>
      <c r="E89" s="307"/>
      <c r="G89" s="62"/>
    </row>
    <row r="90" spans="3:7" x14ac:dyDescent="0.25">
      <c r="C90" s="363" t="s">
        <v>223</v>
      </c>
      <c r="D90" s="308">
        <f>D88/D87</f>
        <v>0.16620860894912737</v>
      </c>
      <c r="E90" s="308"/>
    </row>
    <row r="91" spans="3:7" x14ac:dyDescent="0.25">
      <c r="C91" s="363"/>
      <c r="D91" s="309"/>
      <c r="E91" s="309"/>
    </row>
    <row r="92" spans="3:7" x14ac:dyDescent="0.25">
      <c r="D92" s="14"/>
      <c r="E92" s="14"/>
    </row>
    <row r="93" spans="3:7" ht="15.75" thickBot="1" x14ac:dyDescent="0.3">
      <c r="D93" s="14"/>
      <c r="E93" s="14"/>
    </row>
    <row r="94" spans="3:7" ht="16.5" thickTop="1" thickBot="1" x14ac:dyDescent="0.3">
      <c r="C94" s="297" t="s">
        <v>299</v>
      </c>
      <c r="D94" s="298" t="s">
        <v>300</v>
      </c>
      <c r="E94" s="298" t="s">
        <v>301</v>
      </c>
    </row>
    <row r="95" spans="3:7" ht="15.75" thickTop="1" x14ac:dyDescent="0.25">
      <c r="C95" s="299" t="s">
        <v>20</v>
      </c>
      <c r="D95" s="300">
        <v>22.2</v>
      </c>
      <c r="E95" s="301">
        <v>8.4000000000000005E-2</v>
      </c>
    </row>
    <row r="96" spans="3:7" x14ac:dyDescent="0.25">
      <c r="C96" s="299" t="s">
        <v>22</v>
      </c>
      <c r="D96" s="300">
        <v>39.5</v>
      </c>
      <c r="E96" s="301">
        <v>0.15</v>
      </c>
    </row>
    <row r="97" spans="3:5" x14ac:dyDescent="0.25">
      <c r="C97" s="299" t="s">
        <v>302</v>
      </c>
      <c r="D97" s="300">
        <v>172.2</v>
      </c>
      <c r="E97" s="301">
        <v>0.65600000000000003</v>
      </c>
    </row>
    <row r="98" spans="3:5" x14ac:dyDescent="0.25">
      <c r="C98" s="299" t="s">
        <v>303</v>
      </c>
      <c r="D98" s="300">
        <v>28.9</v>
      </c>
      <c r="E98" s="301">
        <v>0.109</v>
      </c>
    </row>
    <row r="99" spans="3:5" ht="15.75" thickBot="1" x14ac:dyDescent="0.3">
      <c r="C99" s="302" t="s">
        <v>44</v>
      </c>
      <c r="D99" s="303">
        <f>SUM(D95:D98)</f>
        <v>262.79999999999995</v>
      </c>
      <c r="E99" s="304">
        <v>1</v>
      </c>
    </row>
    <row r="100" spans="3:5" ht="15.75" customHeight="1" thickTop="1" x14ac:dyDescent="0.25">
      <c r="C100" s="364" t="s">
        <v>304</v>
      </c>
      <c r="D100" s="364"/>
      <c r="E100" s="364"/>
    </row>
    <row r="101" spans="3:5" x14ac:dyDescent="0.25">
      <c r="C101" s="365"/>
      <c r="D101" s="365"/>
      <c r="E101" s="365"/>
    </row>
  </sheetData>
  <mergeCells count="2">
    <mergeCell ref="C90:C91"/>
    <mergeCell ref="C100:E101"/>
  </mergeCells>
  <pageMargins left="0.7" right="0.7" top="0.75" bottom="0.75" header="0.3" footer="0.3"/>
  <pageSetup paperSize="17" scale="3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59"/>
  <sheetViews>
    <sheetView zoomScale="80" zoomScaleNormal="80" workbookViewId="0"/>
  </sheetViews>
  <sheetFormatPr defaultRowHeight="15" x14ac:dyDescent="0.25"/>
  <cols>
    <col min="1" max="1" width="2.7109375" customWidth="1"/>
    <col min="2" max="2" width="5" customWidth="1"/>
    <col min="3" max="3" width="49" customWidth="1"/>
    <col min="4" max="5" width="15.28515625" customWidth="1"/>
    <col min="6" max="7" width="13.7109375" customWidth="1"/>
    <col min="8" max="8" width="12.7109375" customWidth="1"/>
    <col min="9" max="9" width="12.85546875" customWidth="1"/>
    <col min="10" max="10" width="17.28515625" customWidth="1"/>
    <col min="11" max="11" width="17.42578125" customWidth="1"/>
    <col min="12" max="12" width="18.7109375" customWidth="1"/>
    <col min="13" max="13" width="13.85546875" customWidth="1"/>
    <col min="14" max="14" width="13.7109375" customWidth="1"/>
    <col min="15" max="15" width="16.7109375" customWidth="1"/>
    <col min="16" max="16" width="12.28515625" customWidth="1"/>
    <col min="17" max="17" width="10.5703125" customWidth="1"/>
    <col min="18" max="18" width="15.7109375" customWidth="1"/>
  </cols>
  <sheetData>
    <row r="1" spans="1:17" ht="18.75" x14ac:dyDescent="0.3">
      <c r="A1" s="31" t="s">
        <v>68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3" spans="1:17" x14ac:dyDescent="0.25">
      <c r="B3" t="s">
        <v>50</v>
      </c>
    </row>
    <row r="4" spans="1:17" x14ac:dyDescent="0.25">
      <c r="C4" t="s">
        <v>118</v>
      </c>
      <c r="D4" s="173">
        <v>44866</v>
      </c>
      <c r="E4" s="1"/>
    </row>
    <row r="5" spans="1:17" x14ac:dyDescent="0.25">
      <c r="C5" t="s">
        <v>103</v>
      </c>
      <c r="D5" s="173">
        <f>D4+18*30</f>
        <v>45406</v>
      </c>
      <c r="E5" s="1"/>
    </row>
    <row r="6" spans="1:17" ht="18.75" x14ac:dyDescent="0.3">
      <c r="C6" t="s">
        <v>104</v>
      </c>
      <c r="D6" s="173">
        <v>44104</v>
      </c>
      <c r="E6" s="1" t="s">
        <v>105</v>
      </c>
      <c r="H6" s="75"/>
    </row>
    <row r="7" spans="1:17" x14ac:dyDescent="0.25">
      <c r="D7" s="1"/>
      <c r="E7" s="1"/>
    </row>
    <row r="8" spans="1:17" x14ac:dyDescent="0.25">
      <c r="C8" s="77" t="s">
        <v>51</v>
      </c>
      <c r="D8" s="38"/>
      <c r="E8" s="43"/>
      <c r="F8" s="70"/>
    </row>
    <row r="9" spans="1:17" x14ac:dyDescent="0.25">
      <c r="C9" t="s">
        <v>60</v>
      </c>
      <c r="D9" s="107"/>
      <c r="E9" s="43"/>
      <c r="F9" s="70"/>
    </row>
    <row r="10" spans="1:17" x14ac:dyDescent="0.25">
      <c r="C10" t="s">
        <v>78</v>
      </c>
      <c r="D10" s="7"/>
      <c r="F10" s="70"/>
    </row>
    <row r="11" spans="1:17" x14ac:dyDescent="0.25">
      <c r="C11" t="s">
        <v>0</v>
      </c>
      <c r="D11" s="21"/>
      <c r="F11" s="70"/>
    </row>
    <row r="12" spans="1:17" x14ac:dyDescent="0.25">
      <c r="C12" t="s">
        <v>59</v>
      </c>
      <c r="D12" s="86"/>
      <c r="F12" s="70"/>
    </row>
    <row r="13" spans="1:17" x14ac:dyDescent="0.25">
      <c r="C13" t="s">
        <v>23</v>
      </c>
      <c r="D13" s="61"/>
      <c r="F13" s="70"/>
    </row>
    <row r="14" spans="1:17" x14ac:dyDescent="0.25">
      <c r="F14" s="70"/>
    </row>
    <row r="15" spans="1:17" x14ac:dyDescent="0.25">
      <c r="F15" s="70"/>
      <c r="H15" s="119"/>
      <c r="I15" s="119" t="s">
        <v>100</v>
      </c>
      <c r="J15" s="117" t="s">
        <v>99</v>
      </c>
    </row>
    <row r="16" spans="1:17" ht="18.75" x14ac:dyDescent="0.3">
      <c r="A16" s="75" t="s">
        <v>1</v>
      </c>
      <c r="B16" s="10"/>
      <c r="C16" s="10"/>
      <c r="D16" s="10"/>
      <c r="E16" s="10"/>
      <c r="F16" s="10"/>
      <c r="G16" s="10"/>
      <c r="H16" s="174"/>
      <c r="I16" s="175"/>
      <c r="J16" s="10"/>
      <c r="K16" s="10"/>
      <c r="L16" s="10"/>
      <c r="M16" s="10"/>
      <c r="N16" s="10"/>
      <c r="O16" s="10"/>
      <c r="P16" s="10"/>
      <c r="Q16" s="10"/>
    </row>
    <row r="17" spans="1:18" ht="32.65" customHeight="1" x14ac:dyDescent="0.25">
      <c r="A17" s="4"/>
      <c r="B17" s="4"/>
      <c r="C17" s="4" t="s">
        <v>3</v>
      </c>
      <c r="D17" s="20" t="s">
        <v>80</v>
      </c>
      <c r="E17" s="20" t="s">
        <v>79</v>
      </c>
      <c r="F17" s="22" t="s">
        <v>76</v>
      </c>
      <c r="G17" s="4">
        <v>2018</v>
      </c>
      <c r="H17" s="4">
        <v>2019</v>
      </c>
      <c r="I17" s="101">
        <v>2020</v>
      </c>
      <c r="J17" s="4">
        <v>2021</v>
      </c>
      <c r="K17" s="4">
        <v>2022</v>
      </c>
      <c r="L17" s="4">
        <v>2023</v>
      </c>
      <c r="M17" s="4">
        <v>2024</v>
      </c>
      <c r="N17" s="4">
        <v>2025</v>
      </c>
      <c r="O17" s="4">
        <v>2026</v>
      </c>
      <c r="P17" s="4">
        <v>2027</v>
      </c>
      <c r="Q17" s="4">
        <v>2028</v>
      </c>
      <c r="R17" s="22" t="s">
        <v>34</v>
      </c>
    </row>
    <row r="18" spans="1:18" x14ac:dyDescent="0.25">
      <c r="A18" s="3" t="s">
        <v>5</v>
      </c>
      <c r="B18" s="3"/>
      <c r="C18" s="3"/>
      <c r="D18" s="5"/>
      <c r="E18" s="107"/>
      <c r="F18" s="111"/>
      <c r="G18" s="93"/>
      <c r="H18" s="112"/>
      <c r="I18" s="102"/>
      <c r="J18" s="6"/>
      <c r="K18" s="6"/>
      <c r="L18" s="6"/>
      <c r="M18" s="6"/>
      <c r="N18" s="6"/>
      <c r="O18" s="6"/>
      <c r="P18" s="6"/>
      <c r="Q18" s="6"/>
      <c r="R18" s="29"/>
    </row>
    <row r="19" spans="1:18" x14ac:dyDescent="0.25">
      <c r="A19" s="3"/>
      <c r="B19" s="3"/>
      <c r="C19" s="3" t="s">
        <v>6</v>
      </c>
      <c r="D19" s="7">
        <f>'1 North Wenatchee Ave'!D12+'2 Confluence Parkway'!D12+'3 Cascade Int'!D12+'4 Sunset Highway'!D12</f>
        <v>11000000</v>
      </c>
      <c r="E19" s="107">
        <f>'1 North Wenatchee Ave'!E12+'2 Confluence Parkway'!E12+'3 Cascade Int'!E12+'4 Sunset Highway'!E12</f>
        <v>15134981.064750001</v>
      </c>
      <c r="F19" s="96">
        <f>'1 North Wenatchee Ave'!F12+'2 Confluence Parkway'!F12+'3 Cascade Int'!F12+'4 Sunset Highway'!F12</f>
        <v>274092.44890000008</v>
      </c>
      <c r="G19" s="53">
        <f>'1 North Wenatchee Ave'!G12+'2 Confluence Parkway'!G12+'3 Cascade Int'!G12+'4 Sunset Highway'!G12</f>
        <v>479309.2649999999</v>
      </c>
      <c r="H19" s="53">
        <f>'1 North Wenatchee Ave'!H12+'2 Confluence Parkway'!H12+'3 Cascade Int'!H12+'4 Sunset Highway'!H12</f>
        <v>494034.90944999992</v>
      </c>
      <c r="I19" s="54">
        <f>'1 North Wenatchee Ave'!I12+'2 Confluence Parkway'!I12+'3 Cascade Int'!I12+'4 Sunset Highway'!I12</f>
        <v>847492.25139999995</v>
      </c>
      <c r="J19" s="53">
        <f>'1 North Wenatchee Ave'!J12+'2 Confluence Parkway'!J12+'3 Cascade Int'!J12+'4 Sunset Highway'!J12</f>
        <v>2040052.19</v>
      </c>
      <c r="K19" s="53">
        <f>'1 North Wenatchee Ave'!K12+'2 Confluence Parkway'!K12+'3 Cascade Int'!K12+'4 Sunset Highway'!K12</f>
        <v>3500000</v>
      </c>
      <c r="L19" s="53">
        <f>'1 North Wenatchee Ave'!L12+'2 Confluence Parkway'!L12+'3 Cascade Int'!L12+'4 Sunset Highway'!L12</f>
        <v>7500000</v>
      </c>
      <c r="M19" s="53">
        <f>'1 North Wenatchee Ave'!M12+'2 Confluence Parkway'!M12+'3 Cascade Int'!M12+'4 Sunset Highway'!M12</f>
        <v>0</v>
      </c>
      <c r="N19" s="53">
        <f>'1 North Wenatchee Ave'!N12+'2 Confluence Parkway'!N12+'3 Cascade Int'!N12+'4 Sunset Highway'!N12</f>
        <v>0</v>
      </c>
      <c r="O19" s="53">
        <f>'1 North Wenatchee Ave'!O12+'2 Confluence Parkway'!O12+'3 Cascade Int'!O12+'4 Sunset Highway'!O12</f>
        <v>0</v>
      </c>
      <c r="P19" s="53">
        <f>'1 North Wenatchee Ave'!P12+'2 Confluence Parkway'!P12+'3 Cascade Int'!P12+'4 Sunset Highway'!P12</f>
        <v>0</v>
      </c>
      <c r="Q19" s="54">
        <f>'1 North Wenatchee Ave'!Q12+'2 Confluence Parkway'!Q12+'3 Cascade Int'!Q12+'4 Sunset Highway'!Q12</f>
        <v>0</v>
      </c>
      <c r="R19" s="29">
        <f>SUM(F19:Q19)</f>
        <v>15134981.064750001</v>
      </c>
    </row>
    <row r="20" spans="1:18" x14ac:dyDescent="0.25">
      <c r="A20" s="3"/>
      <c r="B20" s="3"/>
      <c r="C20" s="3" t="s">
        <v>7</v>
      </c>
      <c r="D20" s="7">
        <f>'1 North Wenatchee Ave'!D13+'2 Confluence Parkway'!D13+'3 Cascade Int'!D13+'4 Sunset Highway'!D13</f>
        <v>0</v>
      </c>
      <c r="E20" s="107"/>
      <c r="F20" s="96">
        <f>'1 North Wenatchee Ave'!F13+'2 Confluence Parkway'!F13+'3 Cascade Int'!F13+'4 Sunset Highway'!F13</f>
        <v>264082</v>
      </c>
      <c r="G20" s="53">
        <f>'1 North Wenatchee Ave'!G13+'2 Confluence Parkway'!G13+'3 Cascade Int'!G13+'4 Sunset Highway'!G13</f>
        <v>0</v>
      </c>
      <c r="H20" s="53">
        <f>'1 North Wenatchee Ave'!H13+'2 Confluence Parkway'!H13+'3 Cascade Int'!H13+'4 Sunset Highway'!H13</f>
        <v>0</v>
      </c>
      <c r="I20" s="54">
        <f>'1 North Wenatchee Ave'!I13+'2 Confluence Parkway'!I13+'3 Cascade Int'!I13+'4 Sunset Highway'!I13</f>
        <v>0</v>
      </c>
      <c r="J20" s="53">
        <f>'1 North Wenatchee Ave'!J13+'2 Confluence Parkway'!J13+'3 Cascade Int'!J13+'4 Sunset Highway'!J13</f>
        <v>0</v>
      </c>
      <c r="K20" s="53">
        <f>'1 North Wenatchee Ave'!K13+'2 Confluence Parkway'!K13+'3 Cascade Int'!K13+'4 Sunset Highway'!K13</f>
        <v>0</v>
      </c>
      <c r="L20" s="53">
        <f>'1 North Wenatchee Ave'!L13+'2 Confluence Parkway'!L13+'3 Cascade Int'!L13+'4 Sunset Highway'!L13</f>
        <v>0</v>
      </c>
      <c r="M20" s="53">
        <f>'1 North Wenatchee Ave'!M13+'2 Confluence Parkway'!M13+'3 Cascade Int'!M13+'4 Sunset Highway'!M13</f>
        <v>0</v>
      </c>
      <c r="N20" s="53">
        <f>'1 North Wenatchee Ave'!N13+'2 Confluence Parkway'!N13+'3 Cascade Int'!N13+'4 Sunset Highway'!N13</f>
        <v>0</v>
      </c>
      <c r="O20" s="53">
        <f>'1 North Wenatchee Ave'!O13+'2 Confluence Parkway'!O13+'3 Cascade Int'!O13+'4 Sunset Highway'!O13</f>
        <v>0</v>
      </c>
      <c r="P20" s="53">
        <f>'1 North Wenatchee Ave'!P13+'2 Confluence Parkway'!P13+'3 Cascade Int'!P13+'4 Sunset Highway'!P13</f>
        <v>0</v>
      </c>
      <c r="Q20" s="54">
        <f>'1 North Wenatchee Ave'!Q13+'2 Confluence Parkway'!Q13+'3 Cascade Int'!Q13+'4 Sunset Highway'!Q13</f>
        <v>0</v>
      </c>
      <c r="R20" s="29">
        <f t="shared" ref="R20:R45" si="0">SUM(G20:Q20)</f>
        <v>0</v>
      </c>
    </row>
    <row r="21" spans="1:18" x14ac:dyDescent="0.25">
      <c r="A21" s="3"/>
      <c r="B21" s="3"/>
      <c r="C21" s="3" t="s">
        <v>16</v>
      </c>
      <c r="D21" s="7">
        <f>'1 North Wenatchee Ave'!D14+'2 Confluence Parkway'!D14+'3 Cascade Int'!D14+'4 Sunset Highway'!D14</f>
        <v>0</v>
      </c>
      <c r="E21" s="107"/>
      <c r="F21" s="96">
        <f>'1 North Wenatchee Ave'!F14+'2 Confluence Parkway'!F14+'3 Cascade Int'!F14+'4 Sunset Highway'!F14</f>
        <v>570000</v>
      </c>
      <c r="G21" s="53">
        <f>'1 North Wenatchee Ave'!G14+'2 Confluence Parkway'!G14+'3 Cascade Int'!G14+'4 Sunset Highway'!G14</f>
        <v>0</v>
      </c>
      <c r="H21" s="53">
        <f>'1 North Wenatchee Ave'!H14+'2 Confluence Parkway'!H14+'3 Cascade Int'!H14+'4 Sunset Highway'!H14</f>
        <v>0</v>
      </c>
      <c r="I21" s="54">
        <f>'1 North Wenatchee Ave'!I14+'2 Confluence Parkway'!I14+'3 Cascade Int'!I14+'4 Sunset Highway'!I14</f>
        <v>0</v>
      </c>
      <c r="J21" s="53">
        <f>'1 North Wenatchee Ave'!J14+'2 Confluence Parkway'!J14+'3 Cascade Int'!J14+'4 Sunset Highway'!J14</f>
        <v>0</v>
      </c>
      <c r="K21" s="53">
        <f>'1 North Wenatchee Ave'!K14+'2 Confluence Parkway'!K14+'3 Cascade Int'!K14+'4 Sunset Highway'!K14</f>
        <v>0</v>
      </c>
      <c r="L21" s="53">
        <f>'1 North Wenatchee Ave'!L14+'2 Confluence Parkway'!L14+'3 Cascade Int'!L14+'4 Sunset Highway'!L14</f>
        <v>0</v>
      </c>
      <c r="M21" s="53">
        <f>'1 North Wenatchee Ave'!M14+'2 Confluence Parkway'!M14+'3 Cascade Int'!M14+'4 Sunset Highway'!M14</f>
        <v>0</v>
      </c>
      <c r="N21" s="53">
        <f>'1 North Wenatchee Ave'!N14+'2 Confluence Parkway'!N14+'3 Cascade Int'!N14+'4 Sunset Highway'!N14</f>
        <v>0</v>
      </c>
      <c r="O21" s="53">
        <f>'1 North Wenatchee Ave'!O14+'2 Confluence Parkway'!O14+'3 Cascade Int'!O14+'4 Sunset Highway'!O14</f>
        <v>0</v>
      </c>
      <c r="P21" s="53">
        <f>'1 North Wenatchee Ave'!P14+'2 Confluence Parkway'!P14+'3 Cascade Int'!P14+'4 Sunset Highway'!P14</f>
        <v>0</v>
      </c>
      <c r="Q21" s="54">
        <f>'1 North Wenatchee Ave'!Q14+'2 Confluence Parkway'!Q14+'3 Cascade Int'!Q14+'4 Sunset Highway'!Q14</f>
        <v>0</v>
      </c>
      <c r="R21" s="29">
        <f t="shared" si="0"/>
        <v>0</v>
      </c>
    </row>
    <row r="22" spans="1:18" x14ac:dyDescent="0.25">
      <c r="A22" s="3"/>
      <c r="B22" s="3"/>
      <c r="C22" s="3" t="s">
        <v>8</v>
      </c>
      <c r="D22" s="7">
        <f>'1 North Wenatchee Ave'!D15+'2 Confluence Parkway'!D15+'3 Cascade Int'!D15+'4 Sunset Highway'!D15</f>
        <v>0</v>
      </c>
      <c r="E22" s="107"/>
      <c r="F22" s="96">
        <f>'1 North Wenatchee Ave'!F15+'2 Confluence Parkway'!F15+'3 Cascade Int'!F15+'4 Sunset Highway'!F15</f>
        <v>0</v>
      </c>
      <c r="G22" s="53">
        <f>'1 North Wenatchee Ave'!G15+'2 Confluence Parkway'!G15+'3 Cascade Int'!G15+'4 Sunset Highway'!G15</f>
        <v>0</v>
      </c>
      <c r="H22" s="53">
        <f>'1 North Wenatchee Ave'!H15+'2 Confluence Parkway'!H15+'3 Cascade Int'!H15+'4 Sunset Highway'!H15</f>
        <v>0</v>
      </c>
      <c r="I22" s="54">
        <f>'1 North Wenatchee Ave'!I15+'2 Confluence Parkway'!I15+'3 Cascade Int'!I15+'4 Sunset Highway'!I15</f>
        <v>250000</v>
      </c>
      <c r="J22" s="53">
        <f>'1 North Wenatchee Ave'!J15+'2 Confluence Parkway'!J15+'3 Cascade Int'!J15+'4 Sunset Highway'!J15</f>
        <v>150000</v>
      </c>
      <c r="K22" s="53">
        <f>'1 North Wenatchee Ave'!K15+'2 Confluence Parkway'!K15+'3 Cascade Int'!K15+'4 Sunset Highway'!K15</f>
        <v>0</v>
      </c>
      <c r="L22" s="53">
        <f>'1 North Wenatchee Ave'!L15+'2 Confluence Parkway'!L15+'3 Cascade Int'!L15+'4 Sunset Highway'!L15</f>
        <v>0</v>
      </c>
      <c r="M22" s="53">
        <f>'1 North Wenatchee Ave'!M15+'2 Confluence Parkway'!M15+'3 Cascade Int'!M15+'4 Sunset Highway'!M15</f>
        <v>0</v>
      </c>
      <c r="N22" s="53">
        <f>'1 North Wenatchee Ave'!N15+'2 Confluence Parkway'!N15+'3 Cascade Int'!N15+'4 Sunset Highway'!N15</f>
        <v>0</v>
      </c>
      <c r="O22" s="53">
        <f>'1 North Wenatchee Ave'!O15+'2 Confluence Parkway'!O15+'3 Cascade Int'!O15+'4 Sunset Highway'!O15</f>
        <v>0</v>
      </c>
      <c r="P22" s="53">
        <f>'1 North Wenatchee Ave'!P15+'2 Confluence Parkway'!P15+'3 Cascade Int'!P15+'4 Sunset Highway'!P15</f>
        <v>0</v>
      </c>
      <c r="Q22" s="54">
        <f>'1 North Wenatchee Ave'!Q15+'2 Confluence Parkway'!Q15+'3 Cascade Int'!Q15+'4 Sunset Highway'!Q15</f>
        <v>0</v>
      </c>
      <c r="R22" s="29">
        <f t="shared" si="0"/>
        <v>400000</v>
      </c>
    </row>
    <row r="23" spans="1:18" x14ac:dyDescent="0.25">
      <c r="A23" s="3"/>
      <c r="B23" s="3"/>
      <c r="C23" s="3" t="s">
        <v>12</v>
      </c>
      <c r="D23" s="7">
        <f>'1 North Wenatchee Ave'!D16+'2 Confluence Parkway'!D16+'3 Cascade Int'!D16+'4 Sunset Highway'!D16</f>
        <v>1000000</v>
      </c>
      <c r="E23" s="145">
        <f>'1 North Wenatchee Ave'!E16+'2 Confluence Parkway'!E16+'3 Cascade Int'!E16+'4 Sunset Highway'!E16</f>
        <v>1000000</v>
      </c>
      <c r="F23" s="96">
        <f>'1 North Wenatchee Ave'!F16+'2 Confluence Parkway'!F16+'3 Cascade Int'!F16+'4 Sunset Highway'!F16</f>
        <v>0</v>
      </c>
      <c r="G23" s="53">
        <f>'1 North Wenatchee Ave'!G16+'2 Confluence Parkway'!G16+'3 Cascade Int'!G16+'4 Sunset Highway'!G16</f>
        <v>0</v>
      </c>
      <c r="H23" s="53">
        <f>'1 North Wenatchee Ave'!H16+'2 Confluence Parkway'!H16+'3 Cascade Int'!H16+'4 Sunset Highway'!H16</f>
        <v>0</v>
      </c>
      <c r="I23" s="54">
        <f>'1 North Wenatchee Ave'!I16+'2 Confluence Parkway'!I16+'3 Cascade Int'!I16+'4 Sunset Highway'!I16</f>
        <v>0</v>
      </c>
      <c r="J23" s="53">
        <f>'1 North Wenatchee Ave'!J16+'2 Confluence Parkway'!J16+'3 Cascade Int'!J16+'4 Sunset Highway'!J16</f>
        <v>0</v>
      </c>
      <c r="K23" s="53">
        <f>'1 North Wenatchee Ave'!K16+'2 Confluence Parkway'!K16+'3 Cascade Int'!K16+'4 Sunset Highway'!K16</f>
        <v>0</v>
      </c>
      <c r="L23" s="53">
        <f>'1 North Wenatchee Ave'!L16+'2 Confluence Parkway'!L16+'3 Cascade Int'!L16+'4 Sunset Highway'!L16</f>
        <v>0</v>
      </c>
      <c r="M23" s="53">
        <f>'1 North Wenatchee Ave'!M16+'2 Confluence Parkway'!M16+'3 Cascade Int'!M16+'4 Sunset Highway'!M16</f>
        <v>0</v>
      </c>
      <c r="N23" s="53">
        <f>'1 North Wenatchee Ave'!N16+'2 Confluence Parkway'!N16+'3 Cascade Int'!N16+'4 Sunset Highway'!N16</f>
        <v>1000000</v>
      </c>
      <c r="O23" s="53">
        <f>'1 North Wenatchee Ave'!O16+'2 Confluence Parkway'!O16+'3 Cascade Int'!O16+'4 Sunset Highway'!O16</f>
        <v>0</v>
      </c>
      <c r="P23" s="53">
        <f>'1 North Wenatchee Ave'!P16+'2 Confluence Parkway'!P16+'3 Cascade Int'!P16+'4 Sunset Highway'!P16</f>
        <v>0</v>
      </c>
      <c r="Q23" s="54">
        <f>'1 North Wenatchee Ave'!Q16+'2 Confluence Parkway'!Q16+'3 Cascade Int'!Q16+'4 Sunset Highway'!Q16</f>
        <v>0</v>
      </c>
      <c r="R23" s="29">
        <f>SUM(F23:Q23)</f>
        <v>1000000</v>
      </c>
    </row>
    <row r="24" spans="1:18" x14ac:dyDescent="0.25">
      <c r="A24" s="3"/>
      <c r="B24" s="3"/>
      <c r="C24" s="3" t="s">
        <v>41</v>
      </c>
      <c r="D24" s="7">
        <f>'1 North Wenatchee Ave'!D17+'2 Confluence Parkway'!D17+'3 Cascade Int'!D17+'4 Sunset Highway'!D17</f>
        <v>1500000</v>
      </c>
      <c r="E24" s="107"/>
      <c r="F24" s="96">
        <f>'1 North Wenatchee Ave'!F17+'2 Confluence Parkway'!F17+'3 Cascade Int'!F17+'4 Sunset Highway'!F17</f>
        <v>0</v>
      </c>
      <c r="G24" s="53">
        <f>'1 North Wenatchee Ave'!G17+'2 Confluence Parkway'!G17+'3 Cascade Int'!G17+'4 Sunset Highway'!G17</f>
        <v>859000</v>
      </c>
      <c r="H24" s="53">
        <f>'1 North Wenatchee Ave'!H17+'2 Confluence Parkway'!H17+'3 Cascade Int'!H17+'4 Sunset Highway'!H17</f>
        <v>93899</v>
      </c>
      <c r="I24" s="54">
        <f>'1 North Wenatchee Ave'!I17+'2 Confluence Parkway'!I17+'3 Cascade Int'!I17+'4 Sunset Highway'!I17</f>
        <v>106101</v>
      </c>
      <c r="J24" s="53">
        <f>'1 North Wenatchee Ave'!J17+'2 Confluence Parkway'!J17+'3 Cascade Int'!J17+'4 Sunset Highway'!J17</f>
        <v>500000</v>
      </c>
      <c r="K24" s="53">
        <f>'1 North Wenatchee Ave'!K17+'2 Confluence Parkway'!K17+'3 Cascade Int'!K17+'4 Sunset Highway'!K17</f>
        <v>500000</v>
      </c>
      <c r="L24" s="53">
        <f>'1 North Wenatchee Ave'!L17+'2 Confluence Parkway'!L17+'3 Cascade Int'!L17+'4 Sunset Highway'!L17</f>
        <v>1000000</v>
      </c>
      <c r="M24" s="53">
        <f>'1 North Wenatchee Ave'!M17+'2 Confluence Parkway'!M17+'3 Cascade Int'!M17+'4 Sunset Highway'!M17</f>
        <v>0</v>
      </c>
      <c r="N24" s="53">
        <f>'1 North Wenatchee Ave'!N17+'2 Confluence Parkway'!N17+'3 Cascade Int'!N17+'4 Sunset Highway'!N17</f>
        <v>0</v>
      </c>
      <c r="O24" s="53">
        <f>'1 North Wenatchee Ave'!O17+'2 Confluence Parkway'!O17+'3 Cascade Int'!O17+'4 Sunset Highway'!O17</f>
        <v>0</v>
      </c>
      <c r="P24" s="53">
        <f>'1 North Wenatchee Ave'!P17+'2 Confluence Parkway'!P17+'3 Cascade Int'!P17+'4 Sunset Highway'!P17</f>
        <v>0</v>
      </c>
      <c r="Q24" s="54">
        <f>'1 North Wenatchee Ave'!Q17+'2 Confluence Parkway'!Q17+'3 Cascade Int'!Q17+'4 Sunset Highway'!Q17</f>
        <v>0</v>
      </c>
      <c r="R24" s="29">
        <f t="shared" si="0"/>
        <v>3059000</v>
      </c>
    </row>
    <row r="25" spans="1:18" x14ac:dyDescent="0.25">
      <c r="A25" s="3"/>
      <c r="B25" s="3"/>
      <c r="C25" s="3"/>
      <c r="D25" s="9"/>
      <c r="E25" s="115"/>
      <c r="F25" s="97"/>
      <c r="G25" s="73"/>
      <c r="H25" s="73"/>
      <c r="I25" s="74"/>
      <c r="J25" s="131"/>
      <c r="K25" s="131"/>
      <c r="L25" s="131"/>
      <c r="M25" s="131"/>
      <c r="N25" s="131"/>
      <c r="O25" s="131"/>
      <c r="P25" s="131"/>
      <c r="Q25" s="131"/>
      <c r="R25" s="29">
        <f t="shared" si="0"/>
        <v>0</v>
      </c>
    </row>
    <row r="26" spans="1:18" x14ac:dyDescent="0.25">
      <c r="A26" s="3"/>
      <c r="B26" s="3" t="s">
        <v>19</v>
      </c>
      <c r="C26" s="3"/>
      <c r="D26" s="90">
        <f>SUM(D19:D25)</f>
        <v>13500000</v>
      </c>
      <c r="E26" s="107">
        <f>SUM(E19:E25)</f>
        <v>16134981.064750001</v>
      </c>
      <c r="F26" s="113">
        <f>+F19+F23</f>
        <v>274092.44890000008</v>
      </c>
      <c r="G26" s="27">
        <f>+G19+G23</f>
        <v>479309.2649999999</v>
      </c>
      <c r="H26" s="27">
        <f>+H19+H23</f>
        <v>494034.90944999992</v>
      </c>
      <c r="I26" s="55">
        <f>+I19+I23</f>
        <v>847492.25139999995</v>
      </c>
      <c r="J26" s="132">
        <f>+J19+J23</f>
        <v>2040052.19</v>
      </c>
      <c r="K26" s="132">
        <f t="shared" ref="K26:Q26" si="1">+K19+K23</f>
        <v>3500000</v>
      </c>
      <c r="L26" s="132">
        <f t="shared" si="1"/>
        <v>7500000</v>
      </c>
      <c r="M26" s="132">
        <f t="shared" si="1"/>
        <v>0</v>
      </c>
      <c r="N26" s="132">
        <f t="shared" si="1"/>
        <v>1000000</v>
      </c>
      <c r="O26" s="132">
        <f t="shared" si="1"/>
        <v>0</v>
      </c>
      <c r="P26" s="132">
        <f t="shared" si="1"/>
        <v>0</v>
      </c>
      <c r="Q26" s="132">
        <f t="shared" si="1"/>
        <v>0</v>
      </c>
      <c r="R26" s="29">
        <f>+R19+R23</f>
        <v>16134981.064750001</v>
      </c>
    </row>
    <row r="27" spans="1:18" x14ac:dyDescent="0.25">
      <c r="A27" s="3" t="s">
        <v>4</v>
      </c>
      <c r="B27" s="3"/>
      <c r="C27" s="3"/>
      <c r="D27" s="7"/>
      <c r="E27" s="107"/>
      <c r="F27" s="96"/>
      <c r="G27" s="53"/>
      <c r="H27" s="53"/>
      <c r="I27" s="54"/>
      <c r="J27" s="131"/>
      <c r="K27" s="131"/>
      <c r="L27" s="131"/>
      <c r="M27" s="131"/>
      <c r="N27" s="131"/>
      <c r="O27" s="131"/>
      <c r="P27" s="131"/>
      <c r="Q27" s="131"/>
      <c r="R27" s="29">
        <f t="shared" si="0"/>
        <v>0</v>
      </c>
    </row>
    <row r="28" spans="1:18" x14ac:dyDescent="0.25">
      <c r="A28" s="3"/>
      <c r="B28" s="3"/>
      <c r="C28" s="3" t="s">
        <v>10</v>
      </c>
      <c r="D28" s="7">
        <f>'1 North Wenatchee Ave'!D21+'2 Confluence Parkway'!D21+'3 Cascade Int'!D21+'4 Sunset Highway'!D21</f>
        <v>0</v>
      </c>
      <c r="E28" s="107">
        <f>'1 North Wenatchee Ave'!E21+'2 Confluence Parkway'!E21+'3 Cascade Int'!E21+'4 Sunset Highway'!E21</f>
        <v>0</v>
      </c>
      <c r="F28" s="96">
        <f>'1 North Wenatchee Ave'!F21+'2 Confluence Parkway'!F21+'3 Cascade Int'!F21+'4 Sunset Highway'!F21</f>
        <v>0</v>
      </c>
      <c r="G28" s="53">
        <f>'1 North Wenatchee Ave'!G21+'2 Confluence Parkway'!G21+'3 Cascade Int'!G21+'4 Sunset Highway'!G21</f>
        <v>0</v>
      </c>
      <c r="H28" s="53">
        <f>'1 North Wenatchee Ave'!H21+'2 Confluence Parkway'!H21+'3 Cascade Int'!H21+'4 Sunset Highway'!H21</f>
        <v>0</v>
      </c>
      <c r="I28" s="54">
        <f>'1 North Wenatchee Ave'!I21+'2 Confluence Parkway'!I21+'3 Cascade Int'!I21+'4 Sunset Highway'!I21</f>
        <v>0</v>
      </c>
      <c r="J28" s="53">
        <f>'1 North Wenatchee Ave'!J21+'2 Confluence Parkway'!J21+'3 Cascade Int'!J21+'4 Sunset Highway'!J21</f>
        <v>0</v>
      </c>
      <c r="K28" s="53">
        <f>'1 North Wenatchee Ave'!K21+'2 Confluence Parkway'!K21+'3 Cascade Int'!K21+'4 Sunset Highway'!K21</f>
        <v>0</v>
      </c>
      <c r="L28" s="53">
        <f>'1 North Wenatchee Ave'!L21+'2 Confluence Parkway'!L21+'3 Cascade Int'!L21+'4 Sunset Highway'!L21</f>
        <v>0</v>
      </c>
      <c r="M28" s="53">
        <f>'1 North Wenatchee Ave'!M21+'2 Confluence Parkway'!M21+'3 Cascade Int'!M21+'4 Sunset Highway'!M21</f>
        <v>0</v>
      </c>
      <c r="N28" s="53">
        <f>'1 North Wenatchee Ave'!N21+'2 Confluence Parkway'!N21+'3 Cascade Int'!N21+'4 Sunset Highway'!N21</f>
        <v>0</v>
      </c>
      <c r="O28" s="53">
        <f>'1 North Wenatchee Ave'!O21+'2 Confluence Parkway'!O21+'3 Cascade Int'!O21+'4 Sunset Highway'!O21</f>
        <v>0</v>
      </c>
      <c r="P28" s="53">
        <f>'1 North Wenatchee Ave'!P21+'2 Confluence Parkway'!P21+'3 Cascade Int'!P21+'4 Sunset Highway'!P21</f>
        <v>0</v>
      </c>
      <c r="Q28" s="54">
        <f>'1 North Wenatchee Ave'!Q21+'2 Confluence Parkway'!Q21+'3 Cascade Int'!Q21+'4 Sunset Highway'!Q21</f>
        <v>0</v>
      </c>
      <c r="R28" s="29">
        <f t="shared" si="0"/>
        <v>0</v>
      </c>
    </row>
    <row r="29" spans="1:18" hidden="1" x14ac:dyDescent="0.25">
      <c r="A29" s="3"/>
      <c r="B29" s="3"/>
      <c r="C29" s="3" t="s">
        <v>9</v>
      </c>
      <c r="D29" s="7">
        <f>'1 North Wenatchee Ave'!D22+'2 Confluence Parkway'!D22+'3 Cascade Int'!D22+'4 Sunset Highway'!D22</f>
        <v>0</v>
      </c>
      <c r="E29" s="107">
        <f>'1 North Wenatchee Ave'!E22+'2 Confluence Parkway'!E22+'3 Cascade Int'!E22+'4 Sunset Highway'!E22</f>
        <v>0</v>
      </c>
      <c r="F29" s="96">
        <f>'1 North Wenatchee Ave'!F22+'2 Confluence Parkway'!F22+'3 Cascade Int'!F22+'4 Sunset Highway'!F22</f>
        <v>0</v>
      </c>
      <c r="G29" s="53">
        <f>'1 North Wenatchee Ave'!G22+'2 Confluence Parkway'!G22+'3 Cascade Int'!G22+'4 Sunset Highway'!G22</f>
        <v>0</v>
      </c>
      <c r="H29" s="53">
        <f>'1 North Wenatchee Ave'!H22+'2 Confluence Parkway'!H22+'3 Cascade Int'!H22+'4 Sunset Highway'!H22</f>
        <v>0</v>
      </c>
      <c r="I29" s="54">
        <f>'1 North Wenatchee Ave'!I22+'2 Confluence Parkway'!I22+'3 Cascade Int'!I22+'4 Sunset Highway'!I22</f>
        <v>0</v>
      </c>
      <c r="J29" s="53">
        <f>'1 North Wenatchee Ave'!J22+'2 Confluence Parkway'!J22+'3 Cascade Int'!J22+'4 Sunset Highway'!J22</f>
        <v>0</v>
      </c>
      <c r="K29" s="53">
        <f>'1 North Wenatchee Ave'!K22+'2 Confluence Parkway'!K22+'3 Cascade Int'!K22+'4 Sunset Highway'!K22</f>
        <v>0</v>
      </c>
      <c r="L29" s="53">
        <f>'1 North Wenatchee Ave'!L22+'2 Confluence Parkway'!L22+'3 Cascade Int'!L22+'4 Sunset Highway'!L22</f>
        <v>0</v>
      </c>
      <c r="M29" s="53">
        <f>'1 North Wenatchee Ave'!M22+'2 Confluence Parkway'!M22+'3 Cascade Int'!M22+'4 Sunset Highway'!M22</f>
        <v>0</v>
      </c>
      <c r="N29" s="53">
        <f>'1 North Wenatchee Ave'!N22+'2 Confluence Parkway'!N22+'3 Cascade Int'!N22+'4 Sunset Highway'!N22</f>
        <v>0</v>
      </c>
      <c r="O29" s="53">
        <f>'1 North Wenatchee Ave'!O22+'2 Confluence Parkway'!O22+'3 Cascade Int'!O22+'4 Sunset Highway'!O22</f>
        <v>0</v>
      </c>
      <c r="P29" s="53">
        <f>'1 North Wenatchee Ave'!P22+'2 Confluence Parkway'!P22+'3 Cascade Int'!P22+'4 Sunset Highway'!P22</f>
        <v>0</v>
      </c>
      <c r="Q29" s="54">
        <f>'1 North Wenatchee Ave'!Q22+'2 Confluence Parkway'!Q22+'3 Cascade Int'!Q22+'4 Sunset Highway'!Q22</f>
        <v>0</v>
      </c>
      <c r="R29" s="29">
        <f t="shared" si="0"/>
        <v>0</v>
      </c>
    </row>
    <row r="30" spans="1:18" x14ac:dyDescent="0.25">
      <c r="A30" s="3"/>
      <c r="B30" s="3"/>
      <c r="C30" s="3" t="s">
        <v>74</v>
      </c>
      <c r="D30" s="7">
        <f>'1 North Wenatchee Ave'!D23+'2 Confluence Parkway'!D23+'3 Cascade Int'!D23+'4 Sunset Highway'!D23</f>
        <v>31924200</v>
      </c>
      <c r="E30" s="107">
        <f>'1 North Wenatchee Ave'!E23+'2 Confluence Parkway'!E23+'3 Cascade Int'!E23+'4 Sunset Highway'!E23</f>
        <v>31924200</v>
      </c>
      <c r="F30" s="96">
        <f>'1 North Wenatchee Ave'!F23+'2 Confluence Parkway'!F23+'3 Cascade Int'!F23+'4 Sunset Highway'!F23</f>
        <v>0</v>
      </c>
      <c r="G30" s="53">
        <f>'1 North Wenatchee Ave'!G23+'2 Confluence Parkway'!G23+'3 Cascade Int'!G23+'4 Sunset Highway'!G23</f>
        <v>0</v>
      </c>
      <c r="H30" s="53">
        <f>'1 North Wenatchee Ave'!H23+'2 Confluence Parkway'!H23+'3 Cascade Int'!H23+'4 Sunset Highway'!H23</f>
        <v>0</v>
      </c>
      <c r="I30" s="54">
        <f>'1 North Wenatchee Ave'!I23+'2 Confluence Parkway'!I23+'3 Cascade Int'!I23+'4 Sunset Highway'!I23</f>
        <v>0</v>
      </c>
      <c r="J30" s="53">
        <f>'1 North Wenatchee Ave'!J23+'2 Confluence Parkway'!J23+'3 Cascade Int'!J23+'4 Sunset Highway'!J23</f>
        <v>0</v>
      </c>
      <c r="K30" s="53">
        <f>'1 North Wenatchee Ave'!K23+'2 Confluence Parkway'!K23+'3 Cascade Int'!K23+'4 Sunset Highway'!K23</f>
        <v>0</v>
      </c>
      <c r="L30" s="53">
        <f>'1 North Wenatchee Ave'!L23+'2 Confluence Parkway'!L23+'3 Cascade Int'!L23+'4 Sunset Highway'!L23</f>
        <v>546000</v>
      </c>
      <c r="M30" s="53">
        <f>'1 North Wenatchee Ave'!M23+'2 Confluence Parkway'!M23+'3 Cascade Int'!M23+'4 Sunset Highway'!M23</f>
        <v>10400000</v>
      </c>
      <c r="N30" s="53">
        <f>'1 North Wenatchee Ave'!N23+'2 Confluence Parkway'!N23+'3 Cascade Int'!N23+'4 Sunset Highway'!N23</f>
        <v>20978200</v>
      </c>
      <c r="O30" s="53">
        <f>'1 North Wenatchee Ave'!O23+'2 Confluence Parkway'!O23+'3 Cascade Int'!O23+'4 Sunset Highway'!O23</f>
        <v>0</v>
      </c>
      <c r="P30" s="53">
        <f>'1 North Wenatchee Ave'!P23+'2 Confluence Parkway'!P23+'3 Cascade Int'!P23+'4 Sunset Highway'!P23</f>
        <v>0</v>
      </c>
      <c r="Q30" s="54">
        <f>'1 North Wenatchee Ave'!Q23+'2 Confluence Parkway'!Q23+'3 Cascade Int'!Q23+'4 Sunset Highway'!Q23</f>
        <v>0</v>
      </c>
      <c r="R30" s="29">
        <f>SUM(F30:Q30)</f>
        <v>31924200</v>
      </c>
    </row>
    <row r="31" spans="1:18" x14ac:dyDescent="0.25">
      <c r="A31" s="3"/>
      <c r="B31" s="3"/>
      <c r="C31" s="3" t="s">
        <v>35</v>
      </c>
      <c r="D31" s="7">
        <f>'1 North Wenatchee Ave'!D24+'2 Confluence Parkway'!D24+'3 Cascade Int'!D24+'4 Sunset Highway'!D24</f>
        <v>55857089</v>
      </c>
      <c r="E31" s="107">
        <f>'1 North Wenatchee Ave'!E24+'2 Confluence Parkway'!E24+'3 Cascade Int'!E24+'4 Sunset Highway'!E24</f>
        <v>58522010</v>
      </c>
      <c r="F31" s="96">
        <f>'1 North Wenatchee Ave'!F24+'2 Confluence Parkway'!F24+'3 Cascade Int'!F24+'4 Sunset Highway'!F24</f>
        <v>19794</v>
      </c>
      <c r="G31" s="53">
        <f>'1 North Wenatchee Ave'!G24+'2 Confluence Parkway'!G24+'3 Cascade Int'!G24+'4 Sunset Highway'!G24</f>
        <v>3243</v>
      </c>
      <c r="H31" s="53">
        <f>'1 North Wenatchee Ave'!H24+'2 Confluence Parkway'!H24+'3 Cascade Int'!H24+'4 Sunset Highway'!H24</f>
        <v>308122</v>
      </c>
      <c r="I31" s="54">
        <f>'1 North Wenatchee Ave'!I24+'2 Confluence Parkway'!I24+'3 Cascade Int'!I24+'4 Sunset Highway'!I24</f>
        <v>2333762</v>
      </c>
      <c r="J31" s="53">
        <f>'1 North Wenatchee Ave'!J24+'2 Confluence Parkway'!J24+'3 Cascade Int'!J24+'4 Sunset Highway'!J24</f>
        <v>6083766</v>
      </c>
      <c r="K31" s="53">
        <f>'1 North Wenatchee Ave'!K24+'2 Confluence Parkway'!K24+'3 Cascade Int'!K24+'4 Sunset Highway'!K24</f>
        <v>9333764</v>
      </c>
      <c r="L31" s="53">
        <f>'1 North Wenatchee Ave'!L24+'2 Confluence Parkway'!L24+'3 Cascade Int'!L24+'4 Sunset Highway'!L24</f>
        <v>6333764</v>
      </c>
      <c r="M31" s="53">
        <f>'1 North Wenatchee Ave'!M24+'2 Confluence Parkway'!M24+'3 Cascade Int'!M24+'4 Sunset Highway'!M24</f>
        <v>7705795</v>
      </c>
      <c r="N31" s="53">
        <f>'1 North Wenatchee Ave'!N24+'2 Confluence Parkway'!N24+'3 Cascade Int'!N24+'4 Sunset Highway'!N24</f>
        <v>11400000</v>
      </c>
      <c r="O31" s="53">
        <f>'1 North Wenatchee Ave'!O24+'2 Confluence Parkway'!O24+'3 Cascade Int'!O24+'4 Sunset Highway'!O24</f>
        <v>10000000</v>
      </c>
      <c r="P31" s="53">
        <f>'1 North Wenatchee Ave'!P24+'2 Confluence Parkway'!P24+'3 Cascade Int'!P24+'4 Sunset Highway'!P24</f>
        <v>5000000</v>
      </c>
      <c r="Q31" s="54">
        <f>'1 North Wenatchee Ave'!Q24+'2 Confluence Parkway'!Q24+'3 Cascade Int'!Q24+'4 Sunset Highway'!Q24</f>
        <v>0</v>
      </c>
      <c r="R31" s="29">
        <f>SUM(F31:Q31)</f>
        <v>58522010</v>
      </c>
    </row>
    <row r="32" spans="1:18" x14ac:dyDescent="0.25">
      <c r="A32" s="3"/>
      <c r="B32" s="3"/>
      <c r="C32" s="3" t="s">
        <v>112</v>
      </c>
      <c r="D32" s="7">
        <f>'1 North Wenatchee Ave'!D25+'2 Confluence Parkway'!D25+'3 Cascade Int'!D25+'4 Sunset Highway'!D25</f>
        <v>21140693</v>
      </c>
      <c r="E32" s="107">
        <f>'1 North Wenatchee Ave'!E25+'2 Confluence Parkway'!E25+'3 Cascade Int'!E25+'4 Sunset Highway'!E25</f>
        <v>23000001</v>
      </c>
      <c r="F32" s="96">
        <f>'1 North Wenatchee Ave'!F25+'2 Confluence Parkway'!F25+'3 Cascade Int'!F25+'4 Sunset Highway'!F25</f>
        <v>0</v>
      </c>
      <c r="G32" s="73">
        <f>'1 North Wenatchee Ave'!G25+'2 Confluence Parkway'!G25+'3 Cascade Int'!G25+'4 Sunset Highway'!G25</f>
        <v>163576</v>
      </c>
      <c r="H32" s="73">
        <f>'1 North Wenatchee Ave'!H25+'2 Confluence Parkway'!H25+'3 Cascade Int'!H25+'4 Sunset Highway'!H25</f>
        <v>171700</v>
      </c>
      <c r="I32" s="74">
        <f>'1 North Wenatchee Ave'!I25+'2 Confluence Parkway'!I25+'3 Cascade Int'!I25+'4 Sunset Highway'!I25</f>
        <v>667099</v>
      </c>
      <c r="J32" s="73">
        <f>'1 North Wenatchee Ave'!J25+'2 Confluence Parkway'!J25+'3 Cascade Int'!J25+'4 Sunset Highway'!J25</f>
        <v>856933</v>
      </c>
      <c r="K32" s="73">
        <f>'1 North Wenatchee Ave'!K25+'2 Confluence Parkway'!K25+'3 Cascade Int'!K25+'4 Sunset Highway'!K25</f>
        <v>896216</v>
      </c>
      <c r="L32" s="73">
        <f>'1 North Wenatchee Ave'!L25+'2 Confluence Parkway'!L25+'3 Cascade Int'!L25+'4 Sunset Highway'!L25</f>
        <v>7543950</v>
      </c>
      <c r="M32" s="73">
        <f>'1 North Wenatchee Ave'!M25+'2 Confluence Parkway'!M25+'3 Cascade Int'!M25+'4 Sunset Highway'!M25</f>
        <v>7510817</v>
      </c>
      <c r="N32" s="73">
        <f>'1 North Wenatchee Ave'!N25+'2 Confluence Parkway'!N25+'3 Cascade Int'!N25+'4 Sunset Highway'!N25</f>
        <v>3732152</v>
      </c>
      <c r="O32" s="73">
        <f>'1 North Wenatchee Ave'!O25+'2 Confluence Parkway'!O25+'3 Cascade Int'!O25+'4 Sunset Highway'!O25</f>
        <v>1084884</v>
      </c>
      <c r="P32" s="73">
        <f>'1 North Wenatchee Ave'!P25+'2 Confluence Parkway'!P25+'3 Cascade Int'!P25+'4 Sunset Highway'!P25</f>
        <v>372674</v>
      </c>
      <c r="Q32" s="74">
        <f>'1 North Wenatchee Ave'!Q25+'2 Confluence Parkway'!Q25+'3 Cascade Int'!Q25+'4 Sunset Highway'!Q25</f>
        <v>0</v>
      </c>
      <c r="R32" s="29">
        <f>SUM(F32:Q32)</f>
        <v>23000001</v>
      </c>
    </row>
    <row r="33" spans="1:18" hidden="1" x14ac:dyDescent="0.25">
      <c r="A33" s="3"/>
      <c r="B33" s="3"/>
      <c r="C33" s="3" t="s">
        <v>38</v>
      </c>
      <c r="D33" s="7">
        <f>'1 North Wenatchee Ave'!D26+'2 Confluence Parkway'!D26+'3 Cascade Int'!D26+'4 Sunset Highway'!D26</f>
        <v>0</v>
      </c>
      <c r="E33" s="107">
        <f>'1 North Wenatchee Ave'!E26+'2 Confluence Parkway'!E26+'3 Cascade Int'!E26+'4 Sunset Highway'!E26</f>
        <v>138000</v>
      </c>
      <c r="F33" s="96">
        <f>'1 North Wenatchee Ave'!F26+'2 Confluence Parkway'!F26+'3 Cascade Int'!F26+'4 Sunset Highway'!F26</f>
        <v>25000</v>
      </c>
      <c r="G33" s="53">
        <f>'1 North Wenatchee Ave'!G26+'2 Confluence Parkway'!G26+'3 Cascade Int'!G26+'4 Sunset Highway'!G26</f>
        <v>113000</v>
      </c>
      <c r="H33" s="53">
        <f>'1 North Wenatchee Ave'!H26+'2 Confluence Parkway'!H26+'3 Cascade Int'!H26+'4 Sunset Highway'!H26</f>
        <v>0</v>
      </c>
      <c r="I33" s="54">
        <f>'1 North Wenatchee Ave'!I26+'2 Confluence Parkway'!I26+'3 Cascade Int'!I26+'4 Sunset Highway'!I26</f>
        <v>0</v>
      </c>
      <c r="J33" s="53">
        <f>'1 North Wenatchee Ave'!J26+'2 Confluence Parkway'!J26+'3 Cascade Int'!J26+'4 Sunset Highway'!J26</f>
        <v>0</v>
      </c>
      <c r="K33" s="53">
        <f>'1 North Wenatchee Ave'!K26+'2 Confluence Parkway'!K26+'3 Cascade Int'!K26+'4 Sunset Highway'!K26</f>
        <v>0</v>
      </c>
      <c r="L33" s="53">
        <f>'1 North Wenatchee Ave'!L26+'2 Confluence Parkway'!L26+'3 Cascade Int'!L26+'4 Sunset Highway'!L26</f>
        <v>0</v>
      </c>
      <c r="M33" s="53">
        <f>'1 North Wenatchee Ave'!M26+'2 Confluence Parkway'!M26+'3 Cascade Int'!M26+'4 Sunset Highway'!M26</f>
        <v>0</v>
      </c>
      <c r="N33" s="53">
        <f>'1 North Wenatchee Ave'!N26+'2 Confluence Parkway'!N26+'3 Cascade Int'!N26+'4 Sunset Highway'!N26</f>
        <v>0</v>
      </c>
      <c r="O33" s="53">
        <f>'1 North Wenatchee Ave'!O26+'2 Confluence Parkway'!O26+'3 Cascade Int'!O26+'4 Sunset Highway'!O26</f>
        <v>0</v>
      </c>
      <c r="P33" s="53">
        <f>'1 North Wenatchee Ave'!P26+'2 Confluence Parkway'!P26+'3 Cascade Int'!P26+'4 Sunset Highway'!P26</f>
        <v>0</v>
      </c>
      <c r="Q33" s="54">
        <f>'1 North Wenatchee Ave'!Q26+'2 Confluence Parkway'!Q26+'3 Cascade Int'!Q26+'4 Sunset Highway'!Q26</f>
        <v>0</v>
      </c>
      <c r="R33" s="29">
        <f t="shared" si="0"/>
        <v>113000</v>
      </c>
    </row>
    <row r="34" spans="1:18" hidden="1" x14ac:dyDescent="0.25">
      <c r="A34" s="3"/>
      <c r="B34" s="3"/>
      <c r="C34" s="3" t="s">
        <v>11</v>
      </c>
      <c r="D34" s="7">
        <f>'1 North Wenatchee Ave'!D27+'2 Confluence Parkway'!D27+'3 Cascade Int'!D27+'4 Sunset Highway'!D27</f>
        <v>0</v>
      </c>
      <c r="E34" s="107">
        <f>'1 North Wenatchee Ave'!E27+'2 Confluence Parkway'!E27+'3 Cascade Int'!E27+'4 Sunset Highway'!E27</f>
        <v>0</v>
      </c>
      <c r="F34" s="96">
        <f>'1 North Wenatchee Ave'!F27+'2 Confluence Parkway'!F27+'3 Cascade Int'!F27+'4 Sunset Highway'!F27</f>
        <v>0</v>
      </c>
      <c r="G34" s="53">
        <f>'1 North Wenatchee Ave'!G27+'2 Confluence Parkway'!G27+'3 Cascade Int'!G27+'4 Sunset Highway'!G27</f>
        <v>0</v>
      </c>
      <c r="H34" s="53">
        <f>'1 North Wenatchee Ave'!H27+'2 Confluence Parkway'!H27+'3 Cascade Int'!H27+'4 Sunset Highway'!H27</f>
        <v>0</v>
      </c>
      <c r="I34" s="54">
        <f>'1 North Wenatchee Ave'!I27+'2 Confluence Parkway'!I27+'3 Cascade Int'!I27+'4 Sunset Highway'!I27</f>
        <v>0</v>
      </c>
      <c r="J34" s="53">
        <f>'1 North Wenatchee Ave'!J27+'2 Confluence Parkway'!J27+'3 Cascade Int'!J27+'4 Sunset Highway'!J27</f>
        <v>0</v>
      </c>
      <c r="K34" s="53">
        <f>'1 North Wenatchee Ave'!K27+'2 Confluence Parkway'!K27+'3 Cascade Int'!K27+'4 Sunset Highway'!K27</f>
        <v>0</v>
      </c>
      <c r="L34" s="53">
        <f>'1 North Wenatchee Ave'!L27+'2 Confluence Parkway'!L27+'3 Cascade Int'!L27+'4 Sunset Highway'!L27</f>
        <v>0</v>
      </c>
      <c r="M34" s="53">
        <f>'1 North Wenatchee Ave'!M27+'2 Confluence Parkway'!M27+'3 Cascade Int'!M27+'4 Sunset Highway'!M27</f>
        <v>0</v>
      </c>
      <c r="N34" s="53">
        <f>'1 North Wenatchee Ave'!N27+'2 Confluence Parkway'!N27+'3 Cascade Int'!N27+'4 Sunset Highway'!N27</f>
        <v>0</v>
      </c>
      <c r="O34" s="53">
        <f>'1 North Wenatchee Ave'!O27+'2 Confluence Parkway'!O27+'3 Cascade Int'!O27+'4 Sunset Highway'!O27</f>
        <v>0</v>
      </c>
      <c r="P34" s="53">
        <f>'1 North Wenatchee Ave'!P27+'2 Confluence Parkway'!P27+'3 Cascade Int'!P27+'4 Sunset Highway'!P27</f>
        <v>0</v>
      </c>
      <c r="Q34" s="54">
        <f>'1 North Wenatchee Ave'!Q27+'2 Confluence Parkway'!Q27+'3 Cascade Int'!Q27+'4 Sunset Highway'!Q27</f>
        <v>0</v>
      </c>
      <c r="R34" s="29">
        <f t="shared" si="0"/>
        <v>0</v>
      </c>
    </row>
    <row r="35" spans="1:18" ht="13.9" customHeight="1" x14ac:dyDescent="0.25">
      <c r="A35" s="3"/>
      <c r="B35" s="3"/>
      <c r="C35" s="3" t="s">
        <v>74</v>
      </c>
      <c r="D35" s="7">
        <f>'1 North Wenatchee Ave'!D28+'2 Confluence Parkway'!D28+'3 Cascade Int'!D28+'4 Sunset Highway'!D28</f>
        <v>0</v>
      </c>
      <c r="E35" s="115">
        <f>'1 North Wenatchee Ave'!E28+'2 Confluence Parkway'!E28+'3 Cascade Int'!E28+'4 Sunset Highway'!E28</f>
        <v>8613296</v>
      </c>
      <c r="F35" s="96">
        <f>'1 North Wenatchee Ave'!F28+'2 Confluence Parkway'!F28+'3 Cascade Int'!F28+'4 Sunset Highway'!F28</f>
        <v>7600000</v>
      </c>
      <c r="G35" s="53">
        <f>'1 North Wenatchee Ave'!G28+'2 Confluence Parkway'!G28+'3 Cascade Int'!G28+'4 Sunset Highway'!G28</f>
        <v>139257</v>
      </c>
      <c r="H35" s="53">
        <f>'1 North Wenatchee Ave'!H28+'2 Confluence Parkway'!H28+'3 Cascade Int'!H28+'4 Sunset Highway'!H28</f>
        <v>874039</v>
      </c>
      <c r="I35" s="54">
        <f>'1 North Wenatchee Ave'!I28+'2 Confluence Parkway'!I28+'3 Cascade Int'!I28+'4 Sunset Highway'!I28</f>
        <v>0</v>
      </c>
      <c r="J35" s="53">
        <f>'1 North Wenatchee Ave'!J28+'2 Confluence Parkway'!J28+'3 Cascade Int'!J28+'4 Sunset Highway'!J28</f>
        <v>0</v>
      </c>
      <c r="K35" s="53">
        <f>'1 North Wenatchee Ave'!K28+'2 Confluence Parkway'!K28+'3 Cascade Int'!K28+'4 Sunset Highway'!K28</f>
        <v>0</v>
      </c>
      <c r="L35" s="53">
        <f>'1 North Wenatchee Ave'!L28+'2 Confluence Parkway'!L28+'3 Cascade Int'!L28+'4 Sunset Highway'!L28</f>
        <v>0</v>
      </c>
      <c r="M35" s="53">
        <f>'1 North Wenatchee Ave'!M28+'2 Confluence Parkway'!M28+'3 Cascade Int'!M28+'4 Sunset Highway'!M28</f>
        <v>0</v>
      </c>
      <c r="N35" s="53">
        <f>'1 North Wenatchee Ave'!N28+'2 Confluence Parkway'!N28+'3 Cascade Int'!N28+'4 Sunset Highway'!N28</f>
        <v>0</v>
      </c>
      <c r="O35" s="53">
        <f>'1 North Wenatchee Ave'!O28+'2 Confluence Parkway'!O28+'3 Cascade Int'!O28+'4 Sunset Highway'!O28</f>
        <v>0</v>
      </c>
      <c r="P35" s="53">
        <f>'1 North Wenatchee Ave'!P28+'2 Confluence Parkway'!P28+'3 Cascade Int'!P28+'4 Sunset Highway'!P28</f>
        <v>0</v>
      </c>
      <c r="Q35" s="54">
        <f>'1 North Wenatchee Ave'!Q28+'2 Confluence Parkway'!Q28+'3 Cascade Int'!Q28+'4 Sunset Highway'!Q28</f>
        <v>0</v>
      </c>
      <c r="R35" s="29">
        <f>SUM(F35:Q35)</f>
        <v>8613296</v>
      </c>
    </row>
    <row r="36" spans="1:18" ht="1.5" customHeight="1" x14ac:dyDescent="0.25">
      <c r="A36" s="3"/>
      <c r="B36" s="3"/>
      <c r="C36" s="3"/>
      <c r="D36" s="9"/>
      <c r="E36" s="107"/>
      <c r="F36" s="97"/>
      <c r="G36" s="73"/>
      <c r="H36" s="73"/>
      <c r="I36" s="74"/>
      <c r="J36" s="73"/>
      <c r="K36" s="73"/>
      <c r="L36" s="73"/>
      <c r="M36" s="73"/>
      <c r="N36" s="73"/>
      <c r="O36" s="73"/>
      <c r="P36" s="73"/>
      <c r="Q36" s="74"/>
      <c r="R36" s="29">
        <f t="shared" si="0"/>
        <v>0</v>
      </c>
    </row>
    <row r="37" spans="1:18" x14ac:dyDescent="0.25">
      <c r="A37" s="3"/>
      <c r="B37" s="3" t="s">
        <v>17</v>
      </c>
      <c r="C37" s="3"/>
      <c r="D37" s="90">
        <f t="shared" ref="D37:Q37" si="2">SUM(D28:D36)</f>
        <v>108921982</v>
      </c>
      <c r="E37" s="107">
        <f t="shared" si="2"/>
        <v>122197507</v>
      </c>
      <c r="F37" s="96">
        <f t="shared" si="2"/>
        <v>7644794</v>
      </c>
      <c r="G37" s="53">
        <f t="shared" si="2"/>
        <v>419076</v>
      </c>
      <c r="H37" s="53">
        <f t="shared" si="2"/>
        <v>1353861</v>
      </c>
      <c r="I37" s="54">
        <f t="shared" si="2"/>
        <v>3000861</v>
      </c>
      <c r="J37" s="53">
        <f t="shared" si="2"/>
        <v>6940699</v>
      </c>
      <c r="K37" s="53">
        <f t="shared" si="2"/>
        <v>10229980</v>
      </c>
      <c r="L37" s="53">
        <f t="shared" si="2"/>
        <v>14423714</v>
      </c>
      <c r="M37" s="53">
        <f t="shared" si="2"/>
        <v>25616612</v>
      </c>
      <c r="N37" s="53">
        <f t="shared" si="2"/>
        <v>36110352</v>
      </c>
      <c r="O37" s="53">
        <f t="shared" si="2"/>
        <v>11084884</v>
      </c>
      <c r="P37" s="53">
        <f t="shared" si="2"/>
        <v>5372674</v>
      </c>
      <c r="Q37" s="54">
        <f t="shared" si="2"/>
        <v>0</v>
      </c>
      <c r="R37" s="29">
        <f>SUM(F37:Q37)</f>
        <v>122197507</v>
      </c>
    </row>
    <row r="38" spans="1:18" x14ac:dyDescent="0.25">
      <c r="A38" s="3" t="s">
        <v>13</v>
      </c>
      <c r="B38" s="3"/>
      <c r="C38" s="3"/>
      <c r="D38" s="7"/>
      <c r="E38" s="107"/>
      <c r="F38" s="96"/>
      <c r="G38" s="53"/>
      <c r="H38" s="53"/>
      <c r="I38" s="54"/>
      <c r="J38" s="131"/>
      <c r="K38" s="131"/>
      <c r="L38" s="131"/>
      <c r="M38" s="131"/>
      <c r="N38" s="131"/>
      <c r="O38" s="131"/>
      <c r="P38" s="131"/>
      <c r="Q38" s="131"/>
      <c r="R38" s="29">
        <f t="shared" si="0"/>
        <v>0</v>
      </c>
    </row>
    <row r="39" spans="1:18" x14ac:dyDescent="0.25">
      <c r="A39" s="3"/>
      <c r="B39" s="3"/>
      <c r="C39" s="3" t="s">
        <v>14</v>
      </c>
      <c r="D39" s="7">
        <f>'1 North Wenatchee Ave'!D32+'2 Confluence Parkway'!D32+'3 Cascade Int'!D32+'4 Sunset Highway'!D32</f>
        <v>0</v>
      </c>
      <c r="E39" s="107">
        <f>'1 North Wenatchee Ave'!E32+'2 Confluence Parkway'!E32+'3 Cascade Int'!E32+'4 Sunset Highway'!E32</f>
        <v>3225386.7852500002</v>
      </c>
      <c r="F39" s="96">
        <f>'1 North Wenatchee Ave'!F32+'2 Confluence Parkway'!F32+'3 Cascade Int'!F32+'4 Sunset Highway'!F32</f>
        <v>171112.69110000003</v>
      </c>
      <c r="G39" s="53">
        <f>'1 North Wenatchee Ave'!G32+'2 Confluence Parkway'!G32+'3 Cascade Int'!G32+'4 Sunset Highway'!G32</f>
        <v>63178.735000000001</v>
      </c>
      <c r="H39" s="53">
        <f>'1 North Wenatchee Ave'!H32+'2 Confluence Parkway'!H32+'3 Cascade Int'!H32+'4 Sunset Highway'!H32</f>
        <v>657867.16054999991</v>
      </c>
      <c r="I39" s="54">
        <f>'1 North Wenatchee Ave'!I32+'2 Confluence Parkway'!I32+'3 Cascade Int'!I32+'4 Sunset Highway'!I32</f>
        <v>1115486.3886000002</v>
      </c>
      <c r="J39" s="53">
        <f>'1 North Wenatchee Ave'!J32+'2 Confluence Parkway'!J32+'3 Cascade Int'!J32+'4 Sunset Highway'!J32</f>
        <v>1217741.81</v>
      </c>
      <c r="K39" s="53">
        <f>'1 North Wenatchee Ave'!K32+'2 Confluence Parkway'!K32+'3 Cascade Int'!K32+'4 Sunset Highway'!K32</f>
        <v>0</v>
      </c>
      <c r="L39" s="53">
        <f>'1 North Wenatchee Ave'!L32+'2 Confluence Parkway'!L32+'3 Cascade Int'!L32+'4 Sunset Highway'!L32</f>
        <v>0</v>
      </c>
      <c r="M39" s="53">
        <f>'1 North Wenatchee Ave'!M32+'2 Confluence Parkway'!M32+'3 Cascade Int'!M32+'4 Sunset Highway'!M32</f>
        <v>0</v>
      </c>
      <c r="N39" s="53">
        <f>'1 North Wenatchee Ave'!N32+'2 Confluence Parkway'!N32+'3 Cascade Int'!N32+'4 Sunset Highway'!N32</f>
        <v>0</v>
      </c>
      <c r="O39" s="53">
        <f>'1 North Wenatchee Ave'!O32+'2 Confluence Parkway'!O32+'3 Cascade Int'!O32+'4 Sunset Highway'!O32</f>
        <v>0</v>
      </c>
      <c r="P39" s="53">
        <f>'1 North Wenatchee Ave'!P32+'2 Confluence Parkway'!P32+'3 Cascade Int'!P32+'4 Sunset Highway'!P32</f>
        <v>0</v>
      </c>
      <c r="Q39" s="54">
        <f>'1 North Wenatchee Ave'!Q32+'2 Confluence Parkway'!Q32+'3 Cascade Int'!Q32+'4 Sunset Highway'!Q32</f>
        <v>0</v>
      </c>
      <c r="R39" s="29">
        <f>SUM(F39:Q39)</f>
        <v>3225386.7852500002</v>
      </c>
    </row>
    <row r="40" spans="1:18" x14ac:dyDescent="0.25">
      <c r="A40" s="3"/>
      <c r="B40" s="3"/>
      <c r="C40" s="3" t="s">
        <v>15</v>
      </c>
      <c r="D40" s="7">
        <f>'1 North Wenatchee Ave'!D33+'2 Confluence Parkway'!D33+'3 Cascade Int'!D33+'4 Sunset Highway'!D33</f>
        <v>140414116</v>
      </c>
      <c r="E40" s="115">
        <f>'1 North Wenatchee Ave'!E33+'2 Confluence Parkway'!E33+'3 Cascade Int'!E33+'4 Sunset Highway'!E33</f>
        <v>140414116</v>
      </c>
      <c r="F40" s="97">
        <f>'1 North Wenatchee Ave'!F33+'2 Confluence Parkway'!F33+'3 Cascade Int'!F33+'4 Sunset Highway'!F33</f>
        <v>0</v>
      </c>
      <c r="G40" s="73">
        <f>'1 North Wenatchee Ave'!G33+'2 Confluence Parkway'!G33+'3 Cascade Int'!G33+'4 Sunset Highway'!G33</f>
        <v>0</v>
      </c>
      <c r="H40" s="73">
        <f>'1 North Wenatchee Ave'!H33+'2 Confluence Parkway'!H33+'3 Cascade Int'!H33+'4 Sunset Highway'!H33</f>
        <v>0</v>
      </c>
      <c r="I40" s="74">
        <f>'1 North Wenatchee Ave'!I33+'2 Confluence Parkway'!I33+'3 Cascade Int'!I33+'4 Sunset Highway'!I33</f>
        <v>0</v>
      </c>
      <c r="J40" s="73">
        <f>'1 North Wenatchee Ave'!J33+'2 Confluence Parkway'!J33+'3 Cascade Int'!J33+'4 Sunset Highway'!J33</f>
        <v>0</v>
      </c>
      <c r="K40" s="73">
        <f>'1 North Wenatchee Ave'!K33+'2 Confluence Parkway'!K33+'3 Cascade Int'!K33+'4 Sunset Highway'!K33</f>
        <v>3019502</v>
      </c>
      <c r="L40" s="73">
        <f>'1 North Wenatchee Ave'!L33+'2 Confluence Parkway'!L33+'3 Cascade Int'!L33+'4 Sunset Highway'!L33</f>
        <v>16889616</v>
      </c>
      <c r="M40" s="73">
        <f>'1 North Wenatchee Ave'!M33+'2 Confluence Parkway'!M33+'3 Cascade Int'!M33+'4 Sunset Highway'!M33</f>
        <v>32060322</v>
      </c>
      <c r="N40" s="73">
        <f>'1 North Wenatchee Ave'!N33+'2 Confluence Parkway'!N33+'3 Cascade Int'!N33+'4 Sunset Highway'!N33</f>
        <v>48916969</v>
      </c>
      <c r="O40" s="73">
        <f>'1 North Wenatchee Ave'!O33+'2 Confluence Parkway'!O33+'3 Cascade Int'!O33+'4 Sunset Highway'!O33</f>
        <v>34954707</v>
      </c>
      <c r="P40" s="73">
        <f>'1 North Wenatchee Ave'!P33+'2 Confluence Parkway'!P33+'3 Cascade Int'!P33+'4 Sunset Highway'!P33</f>
        <v>4573000</v>
      </c>
      <c r="Q40" s="74">
        <f>'1 North Wenatchee Ave'!Q33+'2 Confluence Parkway'!Q33+'3 Cascade Int'!Q33+'4 Sunset Highway'!Q33</f>
        <v>0</v>
      </c>
      <c r="R40" s="29">
        <f>SUM(F40:Q40)</f>
        <v>140414116</v>
      </c>
    </row>
    <row r="41" spans="1:18" hidden="1" x14ac:dyDescent="0.25">
      <c r="A41" s="3"/>
      <c r="B41" s="3"/>
      <c r="C41" s="3"/>
      <c r="D41" s="7">
        <f>'1 North Wenatchee Ave'!D34+'2 Confluence Parkway'!D34+'3 Cascade Int'!D34+'4 Sunset Highway'!D34</f>
        <v>0</v>
      </c>
      <c r="E41" s="107"/>
      <c r="F41" s="96">
        <f>'1 North Wenatchee Ave'!F34+'2 Confluence Parkway'!F34+'3 Cascade Int'!F34+'4 Sunset Highway'!F34</f>
        <v>0</v>
      </c>
      <c r="G41" s="53">
        <f>'1 North Wenatchee Ave'!G34+'2 Confluence Parkway'!G34+'3 Cascade Int'!G34+'4 Sunset Highway'!G34</f>
        <v>0</v>
      </c>
      <c r="H41" s="53">
        <f>'1 North Wenatchee Ave'!H34+'2 Confluence Parkway'!H34+'3 Cascade Int'!H34+'4 Sunset Highway'!H34</f>
        <v>0</v>
      </c>
      <c r="I41" s="54">
        <f>'1 North Wenatchee Ave'!I34+'2 Confluence Parkway'!I34+'3 Cascade Int'!I34+'4 Sunset Highway'!I34</f>
        <v>0</v>
      </c>
      <c r="J41" s="53">
        <f>'1 North Wenatchee Ave'!J34+'2 Confluence Parkway'!J34+'3 Cascade Int'!J34+'4 Sunset Highway'!J34</f>
        <v>0</v>
      </c>
      <c r="K41" s="53">
        <f>'1 North Wenatchee Ave'!K34+'2 Confluence Parkway'!K34+'3 Cascade Int'!K34+'4 Sunset Highway'!K34</f>
        <v>0</v>
      </c>
      <c r="L41" s="53">
        <f>'1 North Wenatchee Ave'!L34+'2 Confluence Parkway'!L34+'3 Cascade Int'!L34+'4 Sunset Highway'!L34</f>
        <v>0</v>
      </c>
      <c r="M41" s="53">
        <f>'1 North Wenatchee Ave'!M34+'2 Confluence Parkway'!M34+'3 Cascade Int'!M34+'4 Sunset Highway'!M34</f>
        <v>0</v>
      </c>
      <c r="N41" s="53">
        <f>'1 North Wenatchee Ave'!N34+'2 Confluence Parkway'!N34+'3 Cascade Int'!N34+'4 Sunset Highway'!N34</f>
        <v>0</v>
      </c>
      <c r="O41" s="53">
        <f>'1 North Wenatchee Ave'!O34+'2 Confluence Parkway'!O34+'3 Cascade Int'!O34+'4 Sunset Highway'!O34</f>
        <v>0</v>
      </c>
      <c r="P41" s="53">
        <f>'1 North Wenatchee Ave'!P34+'2 Confluence Parkway'!P34+'3 Cascade Int'!P34+'4 Sunset Highway'!P34</f>
        <v>0</v>
      </c>
      <c r="Q41" s="54">
        <f>'1 North Wenatchee Ave'!Q34+'2 Confluence Parkway'!Q34+'3 Cascade Int'!Q34+'4 Sunset Highway'!Q34</f>
        <v>0</v>
      </c>
      <c r="R41" s="29">
        <f t="shared" si="0"/>
        <v>0</v>
      </c>
    </row>
    <row r="42" spans="1:18" hidden="1" x14ac:dyDescent="0.25">
      <c r="A42" s="3"/>
      <c r="B42" s="3"/>
      <c r="C42" s="3"/>
      <c r="D42" s="9"/>
      <c r="E42" s="107"/>
      <c r="F42" s="97"/>
      <c r="G42" s="73"/>
      <c r="H42" s="73"/>
      <c r="I42" s="74"/>
      <c r="J42" s="73"/>
      <c r="K42" s="73"/>
      <c r="L42" s="73"/>
      <c r="M42" s="73"/>
      <c r="N42" s="73"/>
      <c r="O42" s="73"/>
      <c r="P42" s="73"/>
      <c r="Q42" s="74"/>
      <c r="R42" s="29">
        <f t="shared" si="0"/>
        <v>0</v>
      </c>
    </row>
    <row r="43" spans="1:18" x14ac:dyDescent="0.25">
      <c r="A43" s="3"/>
      <c r="B43" s="3" t="s">
        <v>18</v>
      </c>
      <c r="C43" s="3"/>
      <c r="D43" s="90">
        <f>SUM(D39:D42)</f>
        <v>140414116</v>
      </c>
      <c r="E43" s="107">
        <f>SUM(E39:E42)</f>
        <v>143639502.78525001</v>
      </c>
      <c r="F43" s="96">
        <f>SUM(F39:F42)</f>
        <v>171112.69110000003</v>
      </c>
      <c r="G43" s="53">
        <f>SUM(G39:G42)</f>
        <v>63178.735000000001</v>
      </c>
      <c r="H43" s="53">
        <f t="shared" ref="H43:Q43" si="3">SUM(H39:H42)</f>
        <v>657867.16054999991</v>
      </c>
      <c r="I43" s="54">
        <f t="shared" si="3"/>
        <v>1115486.3886000002</v>
      </c>
      <c r="J43" s="53">
        <f t="shared" si="3"/>
        <v>1217741.81</v>
      </c>
      <c r="K43" s="53">
        <f t="shared" si="3"/>
        <v>3019502</v>
      </c>
      <c r="L43" s="53">
        <f t="shared" si="3"/>
        <v>16889616</v>
      </c>
      <c r="M43" s="53">
        <f t="shared" si="3"/>
        <v>32060322</v>
      </c>
      <c r="N43" s="53">
        <f t="shared" si="3"/>
        <v>48916969</v>
      </c>
      <c r="O43" s="53">
        <f t="shared" si="3"/>
        <v>34954707</v>
      </c>
      <c r="P43" s="53">
        <f t="shared" si="3"/>
        <v>4573000</v>
      </c>
      <c r="Q43" s="54">
        <f t="shared" si="3"/>
        <v>0</v>
      </c>
      <c r="R43" s="29">
        <f>SUM(F43:Q43)</f>
        <v>143639502.78525001</v>
      </c>
    </row>
    <row r="44" spans="1:18" x14ac:dyDescent="0.25">
      <c r="A44" s="3"/>
      <c r="B44" s="3"/>
      <c r="C44" s="3"/>
      <c r="D44" s="11"/>
      <c r="E44" s="11"/>
      <c r="F44" s="48"/>
      <c r="G44" s="28"/>
      <c r="H44" s="28"/>
      <c r="I44" s="41"/>
      <c r="J44" s="8"/>
      <c r="K44" s="8"/>
      <c r="L44" s="8"/>
      <c r="M44" s="8"/>
      <c r="N44" s="8"/>
      <c r="O44" s="8"/>
      <c r="P44" s="8"/>
      <c r="Q44" s="8"/>
      <c r="R44" s="29">
        <f t="shared" si="0"/>
        <v>0</v>
      </c>
    </row>
    <row r="45" spans="1:18" x14ac:dyDescent="0.25">
      <c r="A45" s="91" t="s">
        <v>30</v>
      </c>
      <c r="B45" s="3"/>
      <c r="C45" s="3"/>
      <c r="D45" s="11">
        <f>D43+D37+D26</f>
        <v>262836098</v>
      </c>
      <c r="E45" s="11">
        <f>E43+E37+E26</f>
        <v>281971990.85000002</v>
      </c>
      <c r="F45" s="11">
        <f t="shared" ref="F45:Q45" si="4">F43+F37+F26</f>
        <v>8089999.1400000006</v>
      </c>
      <c r="G45" s="11">
        <f t="shared" si="4"/>
        <v>961563.99999999988</v>
      </c>
      <c r="H45" s="11">
        <f t="shared" si="4"/>
        <v>2505763.0699999998</v>
      </c>
      <c r="I45" s="55">
        <f t="shared" si="4"/>
        <v>4963839.6400000006</v>
      </c>
      <c r="J45" s="11">
        <f t="shared" si="4"/>
        <v>10198493</v>
      </c>
      <c r="K45" s="11">
        <f t="shared" si="4"/>
        <v>16749482</v>
      </c>
      <c r="L45" s="11">
        <f t="shared" si="4"/>
        <v>38813330</v>
      </c>
      <c r="M45" s="11">
        <f t="shared" si="4"/>
        <v>57676934</v>
      </c>
      <c r="N45" s="11">
        <f t="shared" si="4"/>
        <v>86027321</v>
      </c>
      <c r="O45" s="11">
        <f t="shared" si="4"/>
        <v>46039591</v>
      </c>
      <c r="P45" s="11">
        <f t="shared" si="4"/>
        <v>9945674</v>
      </c>
      <c r="Q45" s="11">
        <f t="shared" si="4"/>
        <v>0</v>
      </c>
      <c r="R45" s="29">
        <f t="shared" si="0"/>
        <v>273881991.71000004</v>
      </c>
    </row>
    <row r="46" spans="1:18" x14ac:dyDescent="0.25">
      <c r="A46" s="3"/>
      <c r="B46" s="3"/>
      <c r="C46" s="3"/>
      <c r="D46" s="11"/>
      <c r="E46" s="11"/>
      <c r="F46" s="27"/>
      <c r="G46" s="28"/>
      <c r="H46" s="8"/>
      <c r="I46" s="8"/>
      <c r="J46" s="8"/>
      <c r="K46" s="8"/>
      <c r="L46" s="8"/>
      <c r="M46" s="8"/>
      <c r="N46" s="8"/>
      <c r="O46" s="8"/>
      <c r="P46" s="8"/>
      <c r="Q46" s="8"/>
      <c r="R46" s="26"/>
    </row>
    <row r="47" spans="1:18" ht="18.75" x14ac:dyDescent="0.3">
      <c r="A47" s="75" t="s">
        <v>2</v>
      </c>
      <c r="B47" s="10"/>
      <c r="C47" s="10"/>
      <c r="D47" s="12"/>
      <c r="E47" s="12"/>
      <c r="F47" s="133"/>
      <c r="G47" s="94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26"/>
    </row>
    <row r="48" spans="1:18" x14ac:dyDescent="0.25">
      <c r="A48" s="4"/>
      <c r="B48" s="4"/>
      <c r="C48" s="4" t="s">
        <v>69</v>
      </c>
      <c r="D48" s="20" t="s">
        <v>81</v>
      </c>
      <c r="E48" s="20" t="s">
        <v>79</v>
      </c>
      <c r="F48" s="99">
        <v>2017</v>
      </c>
      <c r="G48" s="4">
        <v>2018</v>
      </c>
      <c r="H48" s="4">
        <v>2019</v>
      </c>
      <c r="I48" s="101">
        <v>2020</v>
      </c>
      <c r="J48" s="4">
        <v>2021</v>
      </c>
      <c r="K48" s="4">
        <v>2022</v>
      </c>
      <c r="L48" s="4">
        <v>2023</v>
      </c>
      <c r="M48" s="4">
        <v>2024</v>
      </c>
      <c r="N48" s="4">
        <v>2025</v>
      </c>
      <c r="O48" s="4">
        <v>2026</v>
      </c>
      <c r="P48" s="4">
        <v>2027</v>
      </c>
      <c r="Q48" s="4">
        <v>2028</v>
      </c>
      <c r="R48" s="22" t="s">
        <v>33</v>
      </c>
    </row>
    <row r="49" spans="1:18" x14ac:dyDescent="0.25">
      <c r="D49" s="7"/>
      <c r="E49" s="107"/>
      <c r="F49" s="113"/>
      <c r="G49" s="136"/>
      <c r="H49" s="136"/>
      <c r="I49" s="104"/>
      <c r="R49" s="29">
        <f t="shared" ref="R49:R112" si="5">SUM(G49:Q49)</f>
        <v>0</v>
      </c>
    </row>
    <row r="50" spans="1:18" x14ac:dyDescent="0.25">
      <c r="A50" s="2" t="s">
        <v>24</v>
      </c>
      <c r="B50" s="2"/>
      <c r="C50" s="2"/>
      <c r="D50" s="39">
        <f>D52+D61+D70</f>
        <v>52664893</v>
      </c>
      <c r="E50" s="120">
        <f>E52+E61+E70</f>
        <v>61743497.850000001</v>
      </c>
      <c r="F50" s="123">
        <f>F52+F61+F70</f>
        <v>420205.14000000007</v>
      </c>
      <c r="G50" s="66">
        <f t="shared" ref="G50:Q50" si="6">G52+G61+G70</f>
        <v>1678064</v>
      </c>
      <c r="H50" s="66">
        <f t="shared" si="6"/>
        <v>1129430.0699999998</v>
      </c>
      <c r="I50" s="67">
        <f t="shared" si="6"/>
        <v>2086178.6400000001</v>
      </c>
      <c r="J50" s="66">
        <f t="shared" si="6"/>
        <v>3764727</v>
      </c>
      <c r="K50" s="66">
        <f t="shared" si="6"/>
        <v>2396216</v>
      </c>
      <c r="L50" s="66">
        <f t="shared" si="6"/>
        <v>13089950</v>
      </c>
      <c r="M50" s="66">
        <f t="shared" si="6"/>
        <v>22510817</v>
      </c>
      <c r="N50" s="66">
        <f t="shared" si="6"/>
        <v>13210352</v>
      </c>
      <c r="O50" s="66">
        <f t="shared" si="6"/>
        <v>1084884</v>
      </c>
      <c r="P50" s="66">
        <f t="shared" si="6"/>
        <v>372674</v>
      </c>
      <c r="Q50" s="67">
        <f t="shared" si="6"/>
        <v>0</v>
      </c>
      <c r="R50" s="29">
        <f>SUM(F50:Q50)</f>
        <v>61743497.850000001</v>
      </c>
    </row>
    <row r="51" spans="1:18" hidden="1" x14ac:dyDescent="0.25">
      <c r="D51" s="7"/>
      <c r="E51" s="107"/>
      <c r="F51" s="96"/>
      <c r="G51" s="43"/>
      <c r="H51" s="43"/>
      <c r="I51" s="104"/>
      <c r="R51" s="29">
        <f t="shared" si="5"/>
        <v>0</v>
      </c>
    </row>
    <row r="52" spans="1:18" x14ac:dyDescent="0.25">
      <c r="B52" t="s">
        <v>26</v>
      </c>
      <c r="D52" s="7">
        <f>'1 North Wenatchee Ave'!D45</f>
        <v>16793597</v>
      </c>
      <c r="E52" s="107">
        <f>'1 North Wenatchee Ave'!E45</f>
        <v>18236277</v>
      </c>
      <c r="F52" s="96">
        <f>'1 North Wenatchee Ave'!F45</f>
        <v>42387</v>
      </c>
      <c r="G52" s="87">
        <f>'1 North Wenatchee Ave'!G45</f>
        <v>355025</v>
      </c>
      <c r="H52" s="87">
        <f>'1 North Wenatchee Ave'!H45</f>
        <v>171110</v>
      </c>
      <c r="I52" s="105">
        <f>'1 North Wenatchee Ave'!I45</f>
        <v>390140</v>
      </c>
      <c r="J52" s="87">
        <f>'1 North Wenatchee Ave'!J45</f>
        <v>484018</v>
      </c>
      <c r="K52" s="87">
        <f>'1 North Wenatchee Ave'!K45</f>
        <v>847816</v>
      </c>
      <c r="L52" s="56">
        <f>'1 North Wenatchee Ave'!L45</f>
        <v>4247499</v>
      </c>
      <c r="M52" s="56">
        <f>'1 North Wenatchee Ave'!M45</f>
        <v>6508572</v>
      </c>
      <c r="N52" s="42">
        <f>'1 North Wenatchee Ave'!N45</f>
        <v>3732152</v>
      </c>
      <c r="O52" s="42">
        <f>'1 North Wenatchee Ave'!O45</f>
        <v>1084884</v>
      </c>
      <c r="P52" s="42">
        <f>'1 North Wenatchee Ave'!P45</f>
        <v>372674</v>
      </c>
      <c r="Q52" s="28">
        <f>'1 North Wenatchee Ave'!Q45</f>
        <v>0</v>
      </c>
      <c r="R52" s="29">
        <f>SUM(F52:Q52)</f>
        <v>18236277</v>
      </c>
    </row>
    <row r="53" spans="1:18" hidden="1" x14ac:dyDescent="0.25">
      <c r="C53" t="s">
        <v>20</v>
      </c>
      <c r="D53" s="7">
        <f>'1 North Wenatchee Ave'!D46</f>
        <v>1508008</v>
      </c>
      <c r="E53" s="107">
        <f>'1 North Wenatchee Ave'!E46</f>
        <v>2702352</v>
      </c>
      <c r="F53" s="96">
        <f>'1 North Wenatchee Ave'!F46</f>
        <v>42387</v>
      </c>
      <c r="G53" s="28">
        <f>'1 North Wenatchee Ave'!G46</f>
        <v>355025</v>
      </c>
      <c r="H53" s="28">
        <f>'1 North Wenatchee Ave'!H46</f>
        <v>171110</v>
      </c>
      <c r="I53" s="41">
        <f>'1 North Wenatchee Ave'!I46</f>
        <v>342938</v>
      </c>
      <c r="J53" s="28">
        <f>'1 North Wenatchee Ave'!J46</f>
        <v>282884</v>
      </c>
      <c r="K53" s="28">
        <f>'1 North Wenatchee Ave'!K46</f>
        <v>492149</v>
      </c>
      <c r="L53" s="28">
        <f>'1 North Wenatchee Ave'!L46</f>
        <v>980426</v>
      </c>
      <c r="M53" s="28">
        <f>'1 North Wenatchee Ave'!M46</f>
        <v>35433</v>
      </c>
      <c r="N53" s="28">
        <f>'1 North Wenatchee Ave'!N46</f>
        <v>0</v>
      </c>
      <c r="O53" s="28">
        <f>'1 North Wenatchee Ave'!O46</f>
        <v>0</v>
      </c>
      <c r="P53" s="28">
        <f>'1 North Wenatchee Ave'!P46</f>
        <v>0</v>
      </c>
      <c r="Q53" s="28">
        <f>'1 North Wenatchee Ave'!Q46</f>
        <v>0</v>
      </c>
      <c r="R53" s="29">
        <f t="shared" si="5"/>
        <v>2659965</v>
      </c>
    </row>
    <row r="54" spans="1:18" hidden="1" x14ac:dyDescent="0.25">
      <c r="C54" t="s">
        <v>21</v>
      </c>
      <c r="D54" s="7">
        <f>'1 North Wenatchee Ave'!D47</f>
        <v>0</v>
      </c>
      <c r="E54" s="107">
        <f>'1 North Wenatchee Ave'!E47</f>
        <v>0</v>
      </c>
      <c r="F54" s="96">
        <f>'1 North Wenatchee Ave'!F47</f>
        <v>0</v>
      </c>
      <c r="G54" s="28">
        <f>'1 North Wenatchee Ave'!G47</f>
        <v>0</v>
      </c>
      <c r="H54" s="28">
        <f>'1 North Wenatchee Ave'!H47</f>
        <v>0</v>
      </c>
      <c r="I54" s="41">
        <f>'1 North Wenatchee Ave'!I47</f>
        <v>0</v>
      </c>
      <c r="J54" s="28">
        <f>'1 North Wenatchee Ave'!J47</f>
        <v>0</v>
      </c>
      <c r="K54" s="28">
        <f>'1 North Wenatchee Ave'!K47</f>
        <v>0</v>
      </c>
      <c r="L54" s="28">
        <f>'1 North Wenatchee Ave'!L47</f>
        <v>0</v>
      </c>
      <c r="M54" s="28">
        <f>'1 North Wenatchee Ave'!M47</f>
        <v>0</v>
      </c>
      <c r="N54" s="28">
        <f>'1 North Wenatchee Ave'!N47</f>
        <v>0</v>
      </c>
      <c r="O54" s="28">
        <f>'1 North Wenatchee Ave'!O47</f>
        <v>0</v>
      </c>
      <c r="P54" s="28">
        <f>'1 North Wenatchee Ave'!P47</f>
        <v>0</v>
      </c>
      <c r="Q54" s="28">
        <f>'1 North Wenatchee Ave'!Q47</f>
        <v>0</v>
      </c>
      <c r="R54" s="29">
        <f t="shared" si="5"/>
        <v>0</v>
      </c>
    </row>
    <row r="55" spans="1:18" hidden="1" x14ac:dyDescent="0.25">
      <c r="C55" t="s">
        <v>22</v>
      </c>
      <c r="D55" s="7">
        <f>'1 North Wenatchee Ave'!D48</f>
        <v>1346664</v>
      </c>
      <c r="E55" s="107">
        <f>'1 North Wenatchee Ave'!E48</f>
        <v>1475000</v>
      </c>
      <c r="F55" s="96">
        <f>'1 North Wenatchee Ave'!F48</f>
        <v>0</v>
      </c>
      <c r="G55" s="28">
        <f>'1 North Wenatchee Ave'!G48</f>
        <v>0</v>
      </c>
      <c r="H55" s="28">
        <f>'1 North Wenatchee Ave'!H48</f>
        <v>0</v>
      </c>
      <c r="I55" s="41">
        <f>'1 North Wenatchee Ave'!I48</f>
        <v>47202</v>
      </c>
      <c r="J55" s="28">
        <f>'1 North Wenatchee Ave'!J48</f>
        <v>81134</v>
      </c>
      <c r="K55" s="28">
        <f>'1 North Wenatchee Ave'!K48</f>
        <v>43997</v>
      </c>
      <c r="L55" s="28">
        <f>'1 North Wenatchee Ave'!L48</f>
        <v>486000</v>
      </c>
      <c r="M55" s="28">
        <f>'1 North Wenatchee Ave'!M48</f>
        <v>816667</v>
      </c>
      <c r="N55" s="28">
        <f>'1 North Wenatchee Ave'!N48</f>
        <v>0</v>
      </c>
      <c r="O55" s="28">
        <f>'1 North Wenatchee Ave'!O48</f>
        <v>0</v>
      </c>
      <c r="P55" s="28">
        <f>'1 North Wenatchee Ave'!P48</f>
        <v>0</v>
      </c>
      <c r="Q55" s="28">
        <f>'1 North Wenatchee Ave'!Q48</f>
        <v>0</v>
      </c>
      <c r="R55" s="29">
        <f t="shared" si="5"/>
        <v>1475000</v>
      </c>
    </row>
    <row r="56" spans="1:18" hidden="1" x14ac:dyDescent="0.25">
      <c r="C56" t="s">
        <v>37</v>
      </c>
      <c r="D56" s="7">
        <f>'1 North Wenatchee Ave'!D49</f>
        <v>2090838.75</v>
      </c>
      <c r="E56" s="107">
        <f>'1 North Wenatchee Ave'!E49</f>
        <v>2108838.75</v>
      </c>
      <c r="F56" s="96">
        <f>'1 North Wenatchee Ave'!F49</f>
        <v>0</v>
      </c>
      <c r="G56" s="28">
        <f>'1 North Wenatchee Ave'!G49</f>
        <v>0</v>
      </c>
      <c r="H56" s="28">
        <f>'1 North Wenatchee Ave'!H49</f>
        <v>0</v>
      </c>
      <c r="I56" s="41">
        <f>'1 North Wenatchee Ave'!I49</f>
        <v>0</v>
      </c>
      <c r="J56" s="28">
        <f>'1 North Wenatchee Ave'!J49</f>
        <v>18000</v>
      </c>
      <c r="K56" s="28">
        <f>'1 North Wenatchee Ave'!K49</f>
        <v>46750.5</v>
      </c>
      <c r="L56" s="28">
        <f>'1 North Wenatchee Ave'!L49</f>
        <v>417160.95</v>
      </c>
      <c r="M56" s="28">
        <f>'1 North Wenatchee Ave'!M49</f>
        <v>848470.79999999993</v>
      </c>
      <c r="N56" s="28">
        <f>'1 North Wenatchee Ave'!N49</f>
        <v>559822.79999999993</v>
      </c>
      <c r="O56" s="28">
        <f>'1 North Wenatchee Ave'!O49</f>
        <v>162732.6</v>
      </c>
      <c r="P56" s="28">
        <f>'1 North Wenatchee Ave'!P49</f>
        <v>55901.1</v>
      </c>
      <c r="Q56" s="28">
        <f>'1 North Wenatchee Ave'!Q49</f>
        <v>0</v>
      </c>
      <c r="R56" s="29">
        <f t="shared" si="5"/>
        <v>2108838.75</v>
      </c>
    </row>
    <row r="57" spans="1:18" hidden="1" x14ac:dyDescent="0.25">
      <c r="C57" t="s">
        <v>23</v>
      </c>
      <c r="D57" s="7">
        <f>'1 North Wenatchee Ave'!D50</f>
        <v>10454193.75</v>
      </c>
      <c r="E57" s="107">
        <f>'1 North Wenatchee Ave'!E50</f>
        <v>10544193.75</v>
      </c>
      <c r="F57" s="96">
        <f>'1 North Wenatchee Ave'!F50</f>
        <v>0</v>
      </c>
      <c r="G57" s="28">
        <f>'1 North Wenatchee Ave'!G50</f>
        <v>0</v>
      </c>
      <c r="H57" s="28">
        <f>'1 North Wenatchee Ave'!H50</f>
        <v>0</v>
      </c>
      <c r="I57" s="41">
        <f>'1 North Wenatchee Ave'!I50</f>
        <v>0</v>
      </c>
      <c r="J57" s="28">
        <f>'1 North Wenatchee Ave'!J50</f>
        <v>90000</v>
      </c>
      <c r="K57" s="28">
        <f>'1 North Wenatchee Ave'!K50</f>
        <v>233752.5</v>
      </c>
      <c r="L57" s="28">
        <f>'1 North Wenatchee Ave'!L50</f>
        <v>2085804.7499999998</v>
      </c>
      <c r="M57" s="28">
        <f>'1 North Wenatchee Ave'!M50</f>
        <v>4242354</v>
      </c>
      <c r="N57" s="28">
        <f>'1 North Wenatchee Ave'!N50</f>
        <v>2799114</v>
      </c>
      <c r="O57" s="28">
        <f>'1 North Wenatchee Ave'!O50</f>
        <v>813663</v>
      </c>
      <c r="P57" s="28">
        <f>'1 North Wenatchee Ave'!P50</f>
        <v>279505.5</v>
      </c>
      <c r="Q57" s="28">
        <f>'1 North Wenatchee Ave'!Q50</f>
        <v>0</v>
      </c>
      <c r="R57" s="29">
        <f t="shared" si="5"/>
        <v>10544193.75</v>
      </c>
    </row>
    <row r="58" spans="1:18" hidden="1" x14ac:dyDescent="0.25">
      <c r="C58" t="s">
        <v>39</v>
      </c>
      <c r="D58" s="7">
        <f>'1 North Wenatchee Ave'!D51</f>
        <v>1393892.4999999998</v>
      </c>
      <c r="E58" s="107">
        <f>'1 North Wenatchee Ave'!E51</f>
        <v>1405892.4999999998</v>
      </c>
      <c r="F58" s="96">
        <f>'1 North Wenatchee Ave'!F51</f>
        <v>0</v>
      </c>
      <c r="G58" s="28">
        <f>'1 North Wenatchee Ave'!G51</f>
        <v>0</v>
      </c>
      <c r="H58" s="28">
        <f>'1 North Wenatchee Ave'!H51</f>
        <v>0</v>
      </c>
      <c r="I58" s="41">
        <f>'1 North Wenatchee Ave'!I51</f>
        <v>0</v>
      </c>
      <c r="J58" s="28">
        <f>'1 North Wenatchee Ave'!J51</f>
        <v>12000</v>
      </c>
      <c r="K58" s="28">
        <f>'1 North Wenatchee Ave'!K51</f>
        <v>31167</v>
      </c>
      <c r="L58" s="28">
        <f>'1 North Wenatchee Ave'!L51</f>
        <v>278107.3</v>
      </c>
      <c r="M58" s="28">
        <f>'1 North Wenatchee Ave'!M51</f>
        <v>565647.20000000007</v>
      </c>
      <c r="N58" s="28">
        <f>'1 North Wenatchee Ave'!N51</f>
        <v>373215.2</v>
      </c>
      <c r="O58" s="28">
        <f>'1 North Wenatchee Ave'!O51</f>
        <v>108488.40000000001</v>
      </c>
      <c r="P58" s="28">
        <f>'1 North Wenatchee Ave'!P51</f>
        <v>37267.4</v>
      </c>
      <c r="Q58" s="28">
        <f>'1 North Wenatchee Ave'!Q51</f>
        <v>0</v>
      </c>
      <c r="R58" s="29">
        <f t="shared" si="5"/>
        <v>1405892.4999999998</v>
      </c>
    </row>
    <row r="59" spans="1:18" hidden="1" x14ac:dyDescent="0.25">
      <c r="D59" s="7"/>
      <c r="E59" s="107"/>
      <c r="F59" s="96"/>
      <c r="G59" s="28">
        <f>'1 North Wenatchee Ave'!G52</f>
        <v>0</v>
      </c>
      <c r="H59" s="28">
        <f>'1 North Wenatchee Ave'!H52</f>
        <v>0</v>
      </c>
      <c r="I59" s="41">
        <f>'1 North Wenatchee Ave'!I52</f>
        <v>0</v>
      </c>
      <c r="J59" s="28">
        <f>'1 North Wenatchee Ave'!J52</f>
        <v>0</v>
      </c>
      <c r="K59" s="28">
        <f>'1 North Wenatchee Ave'!K52</f>
        <v>0</v>
      </c>
      <c r="L59" s="28">
        <f>'1 North Wenatchee Ave'!L52</f>
        <v>0</v>
      </c>
      <c r="M59" s="28">
        <f>'1 North Wenatchee Ave'!M52</f>
        <v>0</v>
      </c>
      <c r="N59" s="28">
        <f>'1 North Wenatchee Ave'!N52</f>
        <v>0</v>
      </c>
      <c r="O59" s="28">
        <f>'1 North Wenatchee Ave'!O52</f>
        <v>0</v>
      </c>
      <c r="P59" s="28">
        <f>'1 North Wenatchee Ave'!P52</f>
        <v>0</v>
      </c>
      <c r="Q59" s="28">
        <f>'1 North Wenatchee Ave'!Q52</f>
        <v>0</v>
      </c>
      <c r="R59" s="29">
        <f t="shared" si="5"/>
        <v>0</v>
      </c>
    </row>
    <row r="60" spans="1:18" hidden="1" x14ac:dyDescent="0.25">
      <c r="D60" s="7"/>
      <c r="E60" s="107"/>
      <c r="F60" s="96"/>
      <c r="G60" s="28"/>
      <c r="H60" s="43"/>
      <c r="I60" s="104"/>
      <c r="R60" s="29">
        <f t="shared" si="5"/>
        <v>0</v>
      </c>
    </row>
    <row r="61" spans="1:18" x14ac:dyDescent="0.25">
      <c r="B61" t="s">
        <v>25</v>
      </c>
      <c r="D61" s="7">
        <f>'1 North Wenatchee Ave'!D54</f>
        <v>31524200</v>
      </c>
      <c r="E61" s="107">
        <f>'1 North Wenatchee Ave'!E54</f>
        <v>38507219.850000001</v>
      </c>
      <c r="F61" s="96">
        <f>'1 North Wenatchee Ave'!F54</f>
        <v>377818.14000000007</v>
      </c>
      <c r="G61" s="87">
        <f>'1 North Wenatchee Ave'!G54</f>
        <v>1323039</v>
      </c>
      <c r="H61" s="87">
        <f>'1 North Wenatchee Ave'!H54</f>
        <v>955289.07</v>
      </c>
      <c r="I61" s="57">
        <f>'1 North Wenatchee Ave'!I54</f>
        <v>1419079.6400000001</v>
      </c>
      <c r="J61" s="56">
        <f>'1 North Wenatchee Ave'!J54</f>
        <v>2907794</v>
      </c>
      <c r="K61" s="56">
        <f>'1 North Wenatchee Ave'!K54</f>
        <v>1500000</v>
      </c>
      <c r="L61" s="56">
        <f>'1 North Wenatchee Ave'!L54</f>
        <v>5546000</v>
      </c>
      <c r="M61" s="56">
        <f>'1 North Wenatchee Ave'!M54</f>
        <v>15000000</v>
      </c>
      <c r="N61" s="56">
        <f>'1 North Wenatchee Ave'!N54</f>
        <v>9478200</v>
      </c>
      <c r="O61" s="53">
        <f>'1 North Wenatchee Ave'!O54</f>
        <v>0</v>
      </c>
      <c r="P61" s="28">
        <f>'1 North Wenatchee Ave'!P54</f>
        <v>0</v>
      </c>
      <c r="Q61" s="28">
        <f>'1 North Wenatchee Ave'!Q54</f>
        <v>0</v>
      </c>
      <c r="R61" s="29">
        <f>SUM(F61:Q61)</f>
        <v>38507219.850000001</v>
      </c>
    </row>
    <row r="62" spans="1:18" hidden="1" x14ac:dyDescent="0.25">
      <c r="C62" t="s">
        <v>20</v>
      </c>
      <c r="D62" s="7">
        <f>'1 North Wenatchee Ave'!D55</f>
        <v>2045999.9999999995</v>
      </c>
      <c r="E62" s="107">
        <f>'1 North Wenatchee Ave'!E55</f>
        <v>4330885.8499999996</v>
      </c>
      <c r="F62" s="96">
        <f>'1 North Wenatchee Ave'!F55</f>
        <v>328987.31000000006</v>
      </c>
      <c r="G62" s="28">
        <f>'1 North Wenatchee Ave'!G55</f>
        <v>26369.33</v>
      </c>
      <c r="H62" s="28">
        <f>'1 North Wenatchee Ave'!H55</f>
        <v>276839.20999999996</v>
      </c>
      <c r="I62" s="41">
        <f>'1 North Wenatchee Ave'!I55</f>
        <v>152690</v>
      </c>
      <c r="J62" s="28">
        <f>'1 North Wenatchee Ave'!J55</f>
        <v>1500000</v>
      </c>
      <c r="K62" s="28">
        <f>'1 North Wenatchee Ave'!K55</f>
        <v>1500000</v>
      </c>
      <c r="L62" s="28">
        <f>'1 North Wenatchee Ave'!L55</f>
        <v>546000</v>
      </c>
      <c r="M62" s="28">
        <f>'1 North Wenatchee Ave'!M55</f>
        <v>0</v>
      </c>
      <c r="N62" s="28">
        <f>'1 North Wenatchee Ave'!N55</f>
        <v>0</v>
      </c>
      <c r="O62" s="28">
        <f>'1 North Wenatchee Ave'!O55</f>
        <v>0</v>
      </c>
      <c r="P62" s="28">
        <f>'1 North Wenatchee Ave'!P55</f>
        <v>0</v>
      </c>
      <c r="Q62" s="28">
        <f>'1 North Wenatchee Ave'!Q55</f>
        <v>0</v>
      </c>
      <c r="R62" s="29">
        <f t="shared" si="5"/>
        <v>4001898.54</v>
      </c>
    </row>
    <row r="63" spans="1:18" hidden="1" x14ac:dyDescent="0.25">
      <c r="C63" t="s">
        <v>21</v>
      </c>
      <c r="D63" s="7">
        <f>'1 North Wenatchee Ave'!D56</f>
        <v>0</v>
      </c>
      <c r="E63" s="107">
        <f>'1 North Wenatchee Ave'!E56</f>
        <v>0</v>
      </c>
      <c r="F63" s="96">
        <f>'1 North Wenatchee Ave'!F56</f>
        <v>0</v>
      </c>
      <c r="G63" s="28">
        <f>'1 North Wenatchee Ave'!G56</f>
        <v>0</v>
      </c>
      <c r="H63" s="28">
        <f>'1 North Wenatchee Ave'!H56</f>
        <v>0</v>
      </c>
      <c r="I63" s="41">
        <f>'1 North Wenatchee Ave'!I56</f>
        <v>0</v>
      </c>
      <c r="J63" s="28">
        <f>'1 North Wenatchee Ave'!J56</f>
        <v>0</v>
      </c>
      <c r="K63" s="28">
        <f>'1 North Wenatchee Ave'!K56</f>
        <v>0</v>
      </c>
      <c r="L63" s="28">
        <f>'1 North Wenatchee Ave'!L56</f>
        <v>0</v>
      </c>
      <c r="M63" s="28">
        <f>'1 North Wenatchee Ave'!M56</f>
        <v>0</v>
      </c>
      <c r="N63" s="28">
        <f>'1 North Wenatchee Ave'!N56</f>
        <v>0</v>
      </c>
      <c r="O63" s="28">
        <f>'1 North Wenatchee Ave'!O56</f>
        <v>0</v>
      </c>
      <c r="P63" s="28">
        <f>'1 North Wenatchee Ave'!P56</f>
        <v>0</v>
      </c>
      <c r="Q63" s="28">
        <f>'1 North Wenatchee Ave'!Q56</f>
        <v>0</v>
      </c>
      <c r="R63" s="29">
        <f t="shared" si="5"/>
        <v>0</v>
      </c>
    </row>
    <row r="64" spans="1:18" hidden="1" x14ac:dyDescent="0.25">
      <c r="C64" t="s">
        <v>22</v>
      </c>
      <c r="D64" s="7">
        <f>'1 North Wenatchee Ave'!D57</f>
        <v>0</v>
      </c>
      <c r="E64" s="107">
        <f>'1 North Wenatchee Ave'!E57</f>
        <v>3290340</v>
      </c>
      <c r="F64" s="96">
        <f>'1 North Wenatchee Ave'!F57</f>
        <v>48830.83</v>
      </c>
      <c r="G64" s="28">
        <f>'1 North Wenatchee Ave'!G57</f>
        <v>1296669.67</v>
      </c>
      <c r="H64" s="28">
        <f>'1 North Wenatchee Ave'!H57</f>
        <v>678449.86</v>
      </c>
      <c r="I64" s="41">
        <f>'1 North Wenatchee Ave'!I57</f>
        <v>1266389.6400000001</v>
      </c>
      <c r="J64" s="28">
        <f>'1 North Wenatchee Ave'!J57</f>
        <v>0</v>
      </c>
      <c r="K64" s="28">
        <f>'1 North Wenatchee Ave'!K57</f>
        <v>0</v>
      </c>
      <c r="L64" s="28">
        <f>'1 North Wenatchee Ave'!L57</f>
        <v>0</v>
      </c>
      <c r="M64" s="28">
        <f>'1 North Wenatchee Ave'!M57</f>
        <v>0</v>
      </c>
      <c r="N64" s="28">
        <f>'1 North Wenatchee Ave'!N57</f>
        <v>0</v>
      </c>
      <c r="O64" s="28">
        <f>'1 North Wenatchee Ave'!O57</f>
        <v>0</v>
      </c>
      <c r="P64" s="28">
        <f>'1 North Wenatchee Ave'!P57</f>
        <v>0</v>
      </c>
      <c r="Q64" s="28">
        <f>'1 North Wenatchee Ave'!Q57</f>
        <v>0</v>
      </c>
      <c r="R64" s="29">
        <f t="shared" si="5"/>
        <v>3241509.17</v>
      </c>
    </row>
    <row r="65" spans="1:18" hidden="1" x14ac:dyDescent="0.25">
      <c r="C65" t="s">
        <v>37</v>
      </c>
      <c r="D65" s="7">
        <f>'1 North Wenatchee Ave'!D58</f>
        <v>2837000</v>
      </c>
      <c r="E65" s="107">
        <f>'1 North Wenatchee Ave'!E58</f>
        <v>2837000</v>
      </c>
      <c r="F65" s="96">
        <f>'1 North Wenatchee Ave'!F58</f>
        <v>0</v>
      </c>
      <c r="G65" s="28">
        <f>'1 North Wenatchee Ave'!G58</f>
        <v>0</v>
      </c>
      <c r="H65" s="28">
        <f>'1 North Wenatchee Ave'!H58</f>
        <v>0</v>
      </c>
      <c r="I65" s="41">
        <f>'1 North Wenatchee Ave'!I58</f>
        <v>0</v>
      </c>
      <c r="J65" s="28">
        <f>'1 North Wenatchee Ave'!J58</f>
        <v>0</v>
      </c>
      <c r="K65" s="28">
        <f>'1 North Wenatchee Ave'!K58</f>
        <v>0</v>
      </c>
      <c r="L65" s="28">
        <f>'1 North Wenatchee Ave'!L58</f>
        <v>1000000</v>
      </c>
      <c r="M65" s="28">
        <f>'1 North Wenatchee Ave'!M58</f>
        <v>1000000</v>
      </c>
      <c r="N65" s="28">
        <f>'1 North Wenatchee Ave'!N58</f>
        <v>837000</v>
      </c>
      <c r="O65" s="28">
        <f>'1 North Wenatchee Ave'!O58</f>
        <v>0</v>
      </c>
      <c r="P65" s="28">
        <f>'1 North Wenatchee Ave'!P58</f>
        <v>0</v>
      </c>
      <c r="Q65" s="28">
        <f>'1 North Wenatchee Ave'!Q58</f>
        <v>0</v>
      </c>
      <c r="R65" s="29">
        <f t="shared" si="5"/>
        <v>2837000</v>
      </c>
    </row>
    <row r="66" spans="1:18" hidden="1" x14ac:dyDescent="0.25">
      <c r="C66" t="s">
        <v>23</v>
      </c>
      <c r="D66" s="7">
        <f>'1 North Wenatchee Ave'!D59</f>
        <v>23639000</v>
      </c>
      <c r="E66" s="107">
        <f>'1 North Wenatchee Ave'!E59</f>
        <v>25046794</v>
      </c>
      <c r="F66" s="96">
        <f>'1 North Wenatchee Ave'!F59</f>
        <v>0</v>
      </c>
      <c r="G66" s="28">
        <f>'1 North Wenatchee Ave'!G59</f>
        <v>0</v>
      </c>
      <c r="H66" s="28">
        <f>'1 North Wenatchee Ave'!H59</f>
        <v>0</v>
      </c>
      <c r="I66" s="41">
        <f>'1 North Wenatchee Ave'!I59</f>
        <v>0</v>
      </c>
      <c r="J66" s="28">
        <f>'1 North Wenatchee Ave'!J59</f>
        <v>1407794</v>
      </c>
      <c r="K66" s="28">
        <f>'1 North Wenatchee Ave'!K59</f>
        <v>0</v>
      </c>
      <c r="L66" s="28">
        <f>'1 North Wenatchee Ave'!L59</f>
        <v>3000000</v>
      </c>
      <c r="M66" s="28">
        <f>'1 North Wenatchee Ave'!M59</f>
        <v>13000000</v>
      </c>
      <c r="N66" s="28">
        <f>'1 North Wenatchee Ave'!N59</f>
        <v>7639000</v>
      </c>
      <c r="O66" s="28">
        <f>'1 North Wenatchee Ave'!O59</f>
        <v>0</v>
      </c>
      <c r="P66" s="28">
        <f>'1 North Wenatchee Ave'!P59</f>
        <v>0</v>
      </c>
      <c r="Q66" s="28">
        <f>'1 North Wenatchee Ave'!Q59</f>
        <v>0</v>
      </c>
      <c r="R66" s="29">
        <f t="shared" si="5"/>
        <v>25046794</v>
      </c>
    </row>
    <row r="67" spans="1:18" hidden="1" x14ac:dyDescent="0.25">
      <c r="C67" t="s">
        <v>39</v>
      </c>
      <c r="D67" s="7">
        <f>'1 North Wenatchee Ave'!D60</f>
        <v>3002200</v>
      </c>
      <c r="E67" s="107">
        <f>'1 North Wenatchee Ave'!E60</f>
        <v>3002200</v>
      </c>
      <c r="F67" s="96">
        <f>'1 North Wenatchee Ave'!F60</f>
        <v>0</v>
      </c>
      <c r="G67" s="28">
        <f>'1 North Wenatchee Ave'!G60</f>
        <v>0</v>
      </c>
      <c r="H67" s="28">
        <f>'1 North Wenatchee Ave'!H60</f>
        <v>0</v>
      </c>
      <c r="I67" s="41">
        <f>'1 North Wenatchee Ave'!I60</f>
        <v>0</v>
      </c>
      <c r="J67" s="28">
        <f>'1 North Wenatchee Ave'!J60</f>
        <v>0</v>
      </c>
      <c r="K67" s="28">
        <f>'1 North Wenatchee Ave'!K60</f>
        <v>0</v>
      </c>
      <c r="L67" s="28">
        <f>'1 North Wenatchee Ave'!L60</f>
        <v>1000000</v>
      </c>
      <c r="M67" s="28">
        <f>'1 North Wenatchee Ave'!M60</f>
        <v>1000000</v>
      </c>
      <c r="N67" s="28">
        <f>'1 North Wenatchee Ave'!N60</f>
        <v>1002200</v>
      </c>
      <c r="O67" s="28">
        <f>'1 North Wenatchee Ave'!O60</f>
        <v>0</v>
      </c>
      <c r="P67" s="28">
        <f>'1 North Wenatchee Ave'!P60</f>
        <v>0</v>
      </c>
      <c r="Q67" s="28">
        <f>'1 North Wenatchee Ave'!Q60</f>
        <v>0</v>
      </c>
      <c r="R67" s="29">
        <f t="shared" si="5"/>
        <v>3002200</v>
      </c>
    </row>
    <row r="68" spans="1:18" hidden="1" x14ac:dyDescent="0.25">
      <c r="D68" s="7"/>
      <c r="E68" s="107"/>
      <c r="F68" s="96"/>
      <c r="G68" s="28">
        <f>'1 North Wenatchee Ave'!G61</f>
        <v>0</v>
      </c>
      <c r="H68" s="28">
        <f>'1 North Wenatchee Ave'!H61</f>
        <v>0</v>
      </c>
      <c r="I68" s="41">
        <f>'1 North Wenatchee Ave'!I61</f>
        <v>0</v>
      </c>
      <c r="J68" s="28">
        <f>'1 North Wenatchee Ave'!J61</f>
        <v>0</v>
      </c>
      <c r="K68" s="28">
        <f>'1 North Wenatchee Ave'!K61</f>
        <v>0</v>
      </c>
      <c r="L68" s="28">
        <f>'1 North Wenatchee Ave'!L61</f>
        <v>0</v>
      </c>
      <c r="M68" s="28">
        <f>'1 North Wenatchee Ave'!M61</f>
        <v>0</v>
      </c>
      <c r="N68" s="28">
        <f>'1 North Wenatchee Ave'!N61</f>
        <v>0</v>
      </c>
      <c r="O68" s="28">
        <f>'1 North Wenatchee Ave'!O61</f>
        <v>0</v>
      </c>
      <c r="P68" s="28">
        <f>'1 North Wenatchee Ave'!P61</f>
        <v>0</v>
      </c>
      <c r="Q68" s="28">
        <f>'1 North Wenatchee Ave'!Q61</f>
        <v>0</v>
      </c>
      <c r="R68" s="29">
        <f t="shared" si="5"/>
        <v>0</v>
      </c>
    </row>
    <row r="69" spans="1:18" hidden="1" x14ac:dyDescent="0.25">
      <c r="D69" s="7"/>
      <c r="E69" s="107"/>
      <c r="F69" s="96"/>
      <c r="G69" s="28"/>
      <c r="H69" s="43"/>
      <c r="I69" s="104"/>
      <c r="R69" s="29">
        <f t="shared" si="5"/>
        <v>0</v>
      </c>
    </row>
    <row r="70" spans="1:18" x14ac:dyDescent="0.25">
      <c r="B70" t="s">
        <v>42</v>
      </c>
      <c r="D70" s="7">
        <f>'1 North Wenatchee Ave'!D63</f>
        <v>4347096</v>
      </c>
      <c r="E70" s="107">
        <f>'1 North Wenatchee Ave'!E63</f>
        <v>5000001</v>
      </c>
      <c r="F70" s="96">
        <f>'1 North Wenatchee Ave'!F63</f>
        <v>0</v>
      </c>
      <c r="G70" s="87">
        <f>'1 North Wenatchee Ave'!G63</f>
        <v>0</v>
      </c>
      <c r="H70" s="87">
        <f>'1 North Wenatchee Ave'!H63</f>
        <v>3031</v>
      </c>
      <c r="I70" s="105">
        <f>'1 North Wenatchee Ave'!I63</f>
        <v>276959</v>
      </c>
      <c r="J70" s="56">
        <f>'1 North Wenatchee Ave'!J63</f>
        <v>372915</v>
      </c>
      <c r="K70" s="56">
        <f>'1 North Wenatchee Ave'!K63</f>
        <v>48400</v>
      </c>
      <c r="L70" s="56">
        <f>'1 North Wenatchee Ave'!L63</f>
        <v>3296451</v>
      </c>
      <c r="M70" s="56">
        <f>'1 North Wenatchee Ave'!M63</f>
        <v>1002245</v>
      </c>
      <c r="N70" s="28">
        <f>'1 North Wenatchee Ave'!N63</f>
        <v>0</v>
      </c>
      <c r="O70" s="28">
        <f>'1 North Wenatchee Ave'!O63</f>
        <v>0</v>
      </c>
      <c r="P70" s="28">
        <f>'1 North Wenatchee Ave'!P63</f>
        <v>0</v>
      </c>
      <c r="Q70" s="28">
        <f>'1 North Wenatchee Ave'!Q63</f>
        <v>0</v>
      </c>
      <c r="R70" s="29">
        <f>SUM(G70:Q70)</f>
        <v>5000001</v>
      </c>
    </row>
    <row r="71" spans="1:18" hidden="1" x14ac:dyDescent="0.25">
      <c r="C71" t="s">
        <v>20</v>
      </c>
      <c r="D71" s="7">
        <f>'1 North Wenatchee Ave'!D64</f>
        <v>6021</v>
      </c>
      <c r="E71" s="107"/>
      <c r="F71" s="96">
        <f>'1 North Wenatchee Ave'!F64</f>
        <v>0</v>
      </c>
      <c r="G71" s="28">
        <f>'1 North Wenatchee Ave'!G64</f>
        <v>0</v>
      </c>
      <c r="H71" s="28">
        <f>'1 North Wenatchee Ave'!H64</f>
        <v>3031</v>
      </c>
      <c r="I71" s="41">
        <f>'1 North Wenatchee Ave'!I64</f>
        <v>276959</v>
      </c>
      <c r="J71" s="28">
        <f>'1 North Wenatchee Ave'!J64</f>
        <v>347915</v>
      </c>
      <c r="K71" s="28">
        <f>'1 North Wenatchee Ave'!K64</f>
        <v>6021</v>
      </c>
      <c r="L71" s="28">
        <f>'1 North Wenatchee Ave'!L64</f>
        <v>0</v>
      </c>
      <c r="M71" s="28">
        <f>'1 North Wenatchee Ave'!M64</f>
        <v>0</v>
      </c>
      <c r="N71" s="28">
        <f>'1 North Wenatchee Ave'!N64</f>
        <v>0</v>
      </c>
      <c r="O71" s="28">
        <f>'1 North Wenatchee Ave'!O64</f>
        <v>0</v>
      </c>
      <c r="P71" s="28">
        <f>'1 North Wenatchee Ave'!P64</f>
        <v>0</v>
      </c>
      <c r="Q71" s="28">
        <f>'1 North Wenatchee Ave'!Q64</f>
        <v>0</v>
      </c>
      <c r="R71" s="29">
        <f t="shared" si="5"/>
        <v>633926</v>
      </c>
    </row>
    <row r="72" spans="1:18" hidden="1" x14ac:dyDescent="0.25">
      <c r="C72" t="s">
        <v>21</v>
      </c>
      <c r="D72" s="7">
        <f>'1 North Wenatchee Ave'!D65</f>
        <v>0</v>
      </c>
      <c r="E72" s="107"/>
      <c r="F72" s="96">
        <f>'1 North Wenatchee Ave'!F65</f>
        <v>0</v>
      </c>
      <c r="G72" s="28">
        <f>'1 North Wenatchee Ave'!G65</f>
        <v>0</v>
      </c>
      <c r="H72" s="28">
        <f>'1 North Wenatchee Ave'!H65</f>
        <v>0</v>
      </c>
      <c r="I72" s="41">
        <f>'1 North Wenatchee Ave'!I65</f>
        <v>0</v>
      </c>
      <c r="J72" s="28">
        <f>'1 North Wenatchee Ave'!J65</f>
        <v>0</v>
      </c>
      <c r="K72" s="28">
        <f>'1 North Wenatchee Ave'!K65</f>
        <v>0</v>
      </c>
      <c r="L72" s="28">
        <f>'1 North Wenatchee Ave'!L65</f>
        <v>0</v>
      </c>
      <c r="M72" s="28">
        <f>'1 North Wenatchee Ave'!M65</f>
        <v>0</v>
      </c>
      <c r="N72" s="28">
        <f>'1 North Wenatchee Ave'!N65</f>
        <v>0</v>
      </c>
      <c r="O72" s="28">
        <f>'1 North Wenatchee Ave'!O65</f>
        <v>0</v>
      </c>
      <c r="P72" s="28">
        <f>'1 North Wenatchee Ave'!P65</f>
        <v>0</v>
      </c>
      <c r="Q72" s="28">
        <f>'1 North Wenatchee Ave'!Q65</f>
        <v>0</v>
      </c>
      <c r="R72" s="29">
        <f t="shared" si="5"/>
        <v>0</v>
      </c>
    </row>
    <row r="73" spans="1:18" hidden="1" x14ac:dyDescent="0.25">
      <c r="C73" t="s">
        <v>22</v>
      </c>
      <c r="D73" s="7">
        <f>'1 North Wenatchee Ave'!D66</f>
        <v>0</v>
      </c>
      <c r="E73" s="107"/>
      <c r="F73" s="96">
        <f>'1 North Wenatchee Ave'!F66</f>
        <v>0</v>
      </c>
      <c r="G73" s="28">
        <f>'1 North Wenatchee Ave'!G66</f>
        <v>0</v>
      </c>
      <c r="H73" s="28">
        <f>'1 North Wenatchee Ave'!H66</f>
        <v>0</v>
      </c>
      <c r="I73" s="41">
        <f>'1 North Wenatchee Ave'!I66</f>
        <v>0</v>
      </c>
      <c r="J73" s="28">
        <f>'1 North Wenatchee Ave'!J66</f>
        <v>25000</v>
      </c>
      <c r="K73" s="28">
        <f>'1 North Wenatchee Ave'!K66</f>
        <v>0</v>
      </c>
      <c r="L73" s="28">
        <f>'1 North Wenatchee Ave'!L66</f>
        <v>0</v>
      </c>
      <c r="M73" s="28">
        <f>'1 North Wenatchee Ave'!M66</f>
        <v>0</v>
      </c>
      <c r="N73" s="28">
        <f>'1 North Wenatchee Ave'!N66</f>
        <v>0</v>
      </c>
      <c r="O73" s="28">
        <f>'1 North Wenatchee Ave'!O66</f>
        <v>0</v>
      </c>
      <c r="P73" s="28">
        <f>'1 North Wenatchee Ave'!P66</f>
        <v>0</v>
      </c>
      <c r="Q73" s="28">
        <f>'1 North Wenatchee Ave'!Q66</f>
        <v>0</v>
      </c>
      <c r="R73" s="29">
        <f t="shared" si="5"/>
        <v>25000</v>
      </c>
    </row>
    <row r="74" spans="1:18" hidden="1" x14ac:dyDescent="0.25">
      <c r="C74" t="s">
        <v>37</v>
      </c>
      <c r="D74" s="7">
        <f>'1 North Wenatchee Ave'!D67</f>
        <v>651161.25</v>
      </c>
      <c r="E74" s="107"/>
      <c r="F74" s="96">
        <f>'1 North Wenatchee Ave'!F67</f>
        <v>0</v>
      </c>
      <c r="G74" s="28">
        <f>'1 North Wenatchee Ave'!G67</f>
        <v>0</v>
      </c>
      <c r="H74" s="28">
        <f>'1 North Wenatchee Ave'!H67</f>
        <v>0</v>
      </c>
      <c r="I74" s="41">
        <f>'1 North Wenatchee Ave'!I67</f>
        <v>0</v>
      </c>
      <c r="J74" s="28">
        <f>'1 North Wenatchee Ave'!J67</f>
        <v>0</v>
      </c>
      <c r="K74" s="28">
        <f>'1 North Wenatchee Ave'!K67</f>
        <v>6356.8499999999995</v>
      </c>
      <c r="L74" s="28">
        <f>'1 North Wenatchee Ave'!L67</f>
        <v>494467.64999999997</v>
      </c>
      <c r="M74" s="28">
        <f>'1 North Wenatchee Ave'!M67</f>
        <v>150336.75</v>
      </c>
      <c r="N74" s="28">
        <f>'1 North Wenatchee Ave'!N67</f>
        <v>0</v>
      </c>
      <c r="O74" s="28">
        <f>'1 North Wenatchee Ave'!O67</f>
        <v>0</v>
      </c>
      <c r="P74" s="28">
        <f>'1 North Wenatchee Ave'!P67</f>
        <v>0</v>
      </c>
      <c r="Q74" s="28">
        <f>'1 North Wenatchee Ave'!Q67</f>
        <v>0</v>
      </c>
      <c r="R74" s="29">
        <f t="shared" si="5"/>
        <v>651161.25</v>
      </c>
    </row>
    <row r="75" spans="1:18" hidden="1" x14ac:dyDescent="0.25">
      <c r="C75" t="s">
        <v>23</v>
      </c>
      <c r="D75" s="7">
        <f>'1 North Wenatchee Ave'!D68</f>
        <v>3255806.25</v>
      </c>
      <c r="E75" s="107"/>
      <c r="F75" s="96">
        <f>'1 North Wenatchee Ave'!F68</f>
        <v>0</v>
      </c>
      <c r="G75" s="28">
        <f>'1 North Wenatchee Ave'!G68</f>
        <v>0</v>
      </c>
      <c r="H75" s="28">
        <f>'1 North Wenatchee Ave'!H68</f>
        <v>0</v>
      </c>
      <c r="I75" s="41">
        <f>'1 North Wenatchee Ave'!I68</f>
        <v>0</v>
      </c>
      <c r="J75" s="28">
        <f>'1 North Wenatchee Ave'!J68</f>
        <v>0</v>
      </c>
      <c r="K75" s="28">
        <f>'1 North Wenatchee Ave'!K68</f>
        <v>31784.25</v>
      </c>
      <c r="L75" s="28">
        <f>'1 North Wenatchee Ave'!L68</f>
        <v>2472338.25</v>
      </c>
      <c r="M75" s="28">
        <f>'1 North Wenatchee Ave'!M68</f>
        <v>751683.75</v>
      </c>
      <c r="N75" s="28">
        <f>'1 North Wenatchee Ave'!N68</f>
        <v>0</v>
      </c>
      <c r="O75" s="28">
        <f>'1 North Wenatchee Ave'!O68</f>
        <v>0</v>
      </c>
      <c r="P75" s="28">
        <f>'1 North Wenatchee Ave'!P68</f>
        <v>0</v>
      </c>
      <c r="Q75" s="28">
        <f>'1 North Wenatchee Ave'!Q68</f>
        <v>0</v>
      </c>
      <c r="R75" s="29">
        <f t="shared" si="5"/>
        <v>3255806.25</v>
      </c>
    </row>
    <row r="76" spans="1:18" hidden="1" x14ac:dyDescent="0.25">
      <c r="C76" t="s">
        <v>39</v>
      </c>
      <c r="D76" s="7">
        <f>'1 North Wenatchee Ave'!D69</f>
        <v>434107.50000000006</v>
      </c>
      <c r="E76" s="107"/>
      <c r="F76" s="96">
        <f>'1 North Wenatchee Ave'!F69</f>
        <v>0</v>
      </c>
      <c r="G76" s="28">
        <f>'1 North Wenatchee Ave'!G69</f>
        <v>0</v>
      </c>
      <c r="H76" s="28">
        <f>'1 North Wenatchee Ave'!H69</f>
        <v>0</v>
      </c>
      <c r="I76" s="41">
        <f>'1 North Wenatchee Ave'!I69</f>
        <v>0</v>
      </c>
      <c r="J76" s="28">
        <f>'1 North Wenatchee Ave'!J69</f>
        <v>0</v>
      </c>
      <c r="K76" s="28">
        <f>'1 North Wenatchee Ave'!K69</f>
        <v>4237.9000000000005</v>
      </c>
      <c r="L76" s="28">
        <f>'1 North Wenatchee Ave'!L69</f>
        <v>329645.10000000003</v>
      </c>
      <c r="M76" s="28">
        <f>'1 North Wenatchee Ave'!M69</f>
        <v>100224.5</v>
      </c>
      <c r="N76" s="28">
        <f>'1 North Wenatchee Ave'!N69</f>
        <v>0</v>
      </c>
      <c r="O76" s="28">
        <f>'1 North Wenatchee Ave'!O69</f>
        <v>0</v>
      </c>
      <c r="P76" s="28">
        <f>'1 North Wenatchee Ave'!P69</f>
        <v>0</v>
      </c>
      <c r="Q76" s="28">
        <f>'1 North Wenatchee Ave'!Q69</f>
        <v>0</v>
      </c>
      <c r="R76" s="29">
        <f t="shared" si="5"/>
        <v>434107.50000000006</v>
      </c>
    </row>
    <row r="77" spans="1:18" hidden="1" x14ac:dyDescent="0.25">
      <c r="D77" s="7"/>
      <c r="E77" s="107"/>
      <c r="F77" s="96"/>
      <c r="G77" s="28">
        <f>'1 North Wenatchee Ave'!G70</f>
        <v>0</v>
      </c>
      <c r="H77" s="28">
        <f>'1 North Wenatchee Ave'!H70</f>
        <v>0</v>
      </c>
      <c r="I77" s="41">
        <f>'1 North Wenatchee Ave'!I70</f>
        <v>0</v>
      </c>
      <c r="J77" s="28">
        <f>'1 North Wenatchee Ave'!J70</f>
        <v>0</v>
      </c>
      <c r="K77" s="28">
        <f>'1 North Wenatchee Ave'!K70</f>
        <v>0</v>
      </c>
      <c r="L77" s="28">
        <f>'1 North Wenatchee Ave'!L70</f>
        <v>0</v>
      </c>
      <c r="M77" s="28">
        <f>'1 North Wenatchee Ave'!M70</f>
        <v>0</v>
      </c>
      <c r="N77" s="28">
        <f>'1 North Wenatchee Ave'!N70</f>
        <v>0</v>
      </c>
      <c r="O77" s="28">
        <f>'1 North Wenatchee Ave'!O70</f>
        <v>0</v>
      </c>
      <c r="P77" s="28">
        <f>'1 North Wenatchee Ave'!P70</f>
        <v>0</v>
      </c>
      <c r="Q77" s="28">
        <f>'1 North Wenatchee Ave'!Q70</f>
        <v>0</v>
      </c>
      <c r="R77" s="29">
        <f t="shared" si="5"/>
        <v>0</v>
      </c>
    </row>
    <row r="78" spans="1:18" hidden="1" x14ac:dyDescent="0.25">
      <c r="D78" s="7"/>
      <c r="E78" s="107"/>
      <c r="F78" s="96"/>
      <c r="G78" s="28"/>
      <c r="H78" s="43"/>
      <c r="I78" s="104"/>
      <c r="R78" s="29">
        <f t="shared" si="5"/>
        <v>0</v>
      </c>
    </row>
    <row r="79" spans="1:18" x14ac:dyDescent="0.25">
      <c r="D79" s="7"/>
      <c r="E79" s="107"/>
      <c r="F79" s="96"/>
      <c r="G79" s="28"/>
      <c r="H79" s="43"/>
      <c r="I79" s="104"/>
      <c r="R79" s="29">
        <f>SUM(F79:Q79)</f>
        <v>0</v>
      </c>
    </row>
    <row r="80" spans="1:18" x14ac:dyDescent="0.25">
      <c r="A80" s="2" t="s">
        <v>27</v>
      </c>
      <c r="B80" s="2"/>
      <c r="C80" s="2"/>
      <c r="D80" s="39">
        <f>D82+D91+D100</f>
        <v>137949360</v>
      </c>
      <c r="E80" s="120">
        <f>E82+E91+E100</f>
        <v>141157431</v>
      </c>
      <c r="F80" s="123">
        <f>F82+F91+F100</f>
        <v>620000</v>
      </c>
      <c r="G80" s="66">
        <f t="shared" ref="G80:Q80" si="7">G82+G91+G100</f>
        <v>0</v>
      </c>
      <c r="H80" s="66">
        <f t="shared" si="7"/>
        <v>688071</v>
      </c>
      <c r="I80" s="67">
        <f t="shared" si="7"/>
        <v>900000</v>
      </c>
      <c r="J80" s="66">
        <f t="shared" si="7"/>
        <v>1000000</v>
      </c>
      <c r="K80" s="66">
        <f t="shared" si="7"/>
        <v>4777901</v>
      </c>
      <c r="L80" s="66">
        <f t="shared" si="7"/>
        <v>19789400</v>
      </c>
      <c r="M80" s="66">
        <f t="shared" si="7"/>
        <v>20154056</v>
      </c>
      <c r="N80" s="66">
        <f t="shared" si="7"/>
        <v>56400000</v>
      </c>
      <c r="O80" s="66">
        <f t="shared" si="7"/>
        <v>32255003</v>
      </c>
      <c r="P80" s="66">
        <f t="shared" si="7"/>
        <v>4573000</v>
      </c>
      <c r="Q80" s="67">
        <f t="shared" si="7"/>
        <v>0</v>
      </c>
      <c r="R80" s="58">
        <f>SUM(F80:Q80)</f>
        <v>141157431</v>
      </c>
    </row>
    <row r="81" spans="2:18" hidden="1" x14ac:dyDescent="0.25">
      <c r="D81" s="7"/>
      <c r="E81" s="107"/>
      <c r="F81" s="96"/>
      <c r="G81" s="28"/>
      <c r="H81" s="43"/>
      <c r="I81" s="104"/>
      <c r="R81" s="29">
        <f t="shared" si="5"/>
        <v>0</v>
      </c>
    </row>
    <row r="82" spans="2:18" x14ac:dyDescent="0.25">
      <c r="B82" t="s">
        <v>29</v>
      </c>
      <c r="D82" s="7">
        <f>'2 Confluence Parkway'!D45</f>
        <v>61087756</v>
      </c>
      <c r="E82" s="107">
        <f>'2 Confluence Parkway'!E45</f>
        <v>61837756</v>
      </c>
      <c r="F82" s="96">
        <f>'2 Confluence Parkway'!F45</f>
        <v>0</v>
      </c>
      <c r="G82" s="87">
        <f>'2 Confluence Parkway'!G45</f>
        <v>0</v>
      </c>
      <c r="H82" s="87">
        <f>'2 Confluence Parkway'!H45</f>
        <v>50000</v>
      </c>
      <c r="I82" s="105">
        <f>'2 Confluence Parkway'!I45</f>
        <v>200000</v>
      </c>
      <c r="J82" s="87">
        <f>'2 Confluence Parkway'!J45</f>
        <v>500000</v>
      </c>
      <c r="K82" s="56">
        <f>'2 Confluence Parkway'!K45</f>
        <v>2250000</v>
      </c>
      <c r="L82" s="56">
        <f>'2 Confluence Parkway'!L45</f>
        <v>6000000</v>
      </c>
      <c r="M82" s="56">
        <f>'2 Confluence Parkway'!M45</f>
        <v>6388428</v>
      </c>
      <c r="N82" s="56">
        <f>'2 Confluence Parkway'!N45</f>
        <v>31000000</v>
      </c>
      <c r="O82" s="56">
        <f>'2 Confluence Parkway'!O45</f>
        <v>15449328</v>
      </c>
      <c r="P82" s="28">
        <f>'2 Confluence Parkway'!P45</f>
        <v>0</v>
      </c>
      <c r="Q82" s="28">
        <f>'2 Confluence Parkway'!Q45</f>
        <v>0</v>
      </c>
      <c r="R82" s="29">
        <f>SUM(F82:Q82)</f>
        <v>61837756</v>
      </c>
    </row>
    <row r="83" spans="2:18" hidden="1" x14ac:dyDescent="0.25">
      <c r="C83" t="s">
        <v>20</v>
      </c>
      <c r="D83" s="7">
        <f>'2 Confluence Parkway'!D46</f>
        <v>4350000</v>
      </c>
      <c r="E83" s="107">
        <f>'2 Confluence Parkway'!E46</f>
        <v>5000000</v>
      </c>
      <c r="F83" s="96">
        <f>'2 Confluence Parkway'!F46</f>
        <v>0</v>
      </c>
      <c r="G83" s="87">
        <f>'2 Confluence Parkway'!G46</f>
        <v>0</v>
      </c>
      <c r="H83" s="87">
        <f>'2 Confluence Parkway'!H46</f>
        <v>50000</v>
      </c>
      <c r="I83" s="105">
        <f>'2 Confluence Parkway'!I46</f>
        <v>100000</v>
      </c>
      <c r="J83" s="28">
        <f>'2 Confluence Parkway'!J46</f>
        <v>500000</v>
      </c>
      <c r="K83" s="28">
        <f>'2 Confluence Parkway'!K46</f>
        <v>1850000</v>
      </c>
      <c r="L83" s="28">
        <f>'2 Confluence Parkway'!L46</f>
        <v>2500000</v>
      </c>
      <c r="M83" s="28">
        <f>'2 Confluence Parkway'!M46</f>
        <v>0</v>
      </c>
      <c r="N83" s="28">
        <f>'2 Confluence Parkway'!N46</f>
        <v>0</v>
      </c>
      <c r="O83" s="28">
        <f>'2 Confluence Parkway'!O46</f>
        <v>0</v>
      </c>
      <c r="P83" s="28">
        <f>'2 Confluence Parkway'!P46</f>
        <v>0</v>
      </c>
      <c r="Q83" s="28">
        <f>'2 Confluence Parkway'!Q46</f>
        <v>0</v>
      </c>
      <c r="R83" s="29">
        <f t="shared" si="5"/>
        <v>5000000</v>
      </c>
    </row>
    <row r="84" spans="2:18" hidden="1" x14ac:dyDescent="0.25">
      <c r="C84" t="s">
        <v>21</v>
      </c>
      <c r="D84" s="7">
        <f>'2 Confluence Parkway'!D47</f>
        <v>0</v>
      </c>
      <c r="E84" s="107">
        <f>'2 Confluence Parkway'!E47</f>
        <v>500000</v>
      </c>
      <c r="F84" s="96">
        <f>'2 Confluence Parkway'!F47</f>
        <v>0</v>
      </c>
      <c r="G84" s="87">
        <f>'2 Confluence Parkway'!G47</f>
        <v>0</v>
      </c>
      <c r="H84" s="87">
        <f>'2 Confluence Parkway'!H47</f>
        <v>0</v>
      </c>
      <c r="I84" s="105">
        <f>'2 Confluence Parkway'!I47</f>
        <v>100000</v>
      </c>
      <c r="J84" s="28">
        <f>'2 Confluence Parkway'!K47</f>
        <v>400000</v>
      </c>
      <c r="K84" s="28" t="e">
        <f>'2 Confluence Parkway'!#REF!</f>
        <v>#REF!</v>
      </c>
      <c r="L84" s="28">
        <f>'2 Confluence Parkway'!L47</f>
        <v>0</v>
      </c>
      <c r="M84" s="28">
        <f>'2 Confluence Parkway'!M47</f>
        <v>0</v>
      </c>
      <c r="N84" s="28">
        <f>'2 Confluence Parkway'!N47</f>
        <v>0</v>
      </c>
      <c r="O84" s="28">
        <f>'2 Confluence Parkway'!O47</f>
        <v>0</v>
      </c>
      <c r="P84" s="28">
        <f>'2 Confluence Parkway'!P47</f>
        <v>0</v>
      </c>
      <c r="Q84" s="28">
        <f>'2 Confluence Parkway'!Q47</f>
        <v>0</v>
      </c>
      <c r="R84" s="29" t="e">
        <f t="shared" si="5"/>
        <v>#REF!</v>
      </c>
    </row>
    <row r="85" spans="2:18" hidden="1" x14ac:dyDescent="0.25">
      <c r="C85" t="s">
        <v>22</v>
      </c>
      <c r="D85" s="7">
        <f>'2 Confluence Parkway'!D48</f>
        <v>9648428</v>
      </c>
      <c r="E85" s="107">
        <f>'2 Confluence Parkway'!E48</f>
        <v>9648428</v>
      </c>
      <c r="F85" s="96">
        <f>'2 Confluence Parkway'!F48</f>
        <v>0</v>
      </c>
      <c r="G85" s="87">
        <f>'2 Confluence Parkway'!G48</f>
        <v>0</v>
      </c>
      <c r="H85" s="87">
        <f>'2 Confluence Parkway'!H48</f>
        <v>0</v>
      </c>
      <c r="I85" s="105">
        <f>'2 Confluence Parkway'!I48</f>
        <v>0</v>
      </c>
      <c r="J85" s="28">
        <f>'2 Confluence Parkway'!J48</f>
        <v>0</v>
      </c>
      <c r="K85" s="28">
        <f>'2 Confluence Parkway'!K48</f>
        <v>0</v>
      </c>
      <c r="L85" s="28">
        <f>'2 Confluence Parkway'!M48</f>
        <v>6148428</v>
      </c>
      <c r="M85" s="28" t="e">
        <f>'2 Confluence Parkway'!#REF!</f>
        <v>#REF!</v>
      </c>
      <c r="N85" s="28">
        <f>'2 Confluence Parkway'!N48</f>
        <v>0</v>
      </c>
      <c r="O85" s="28">
        <f>'2 Confluence Parkway'!O48</f>
        <v>0</v>
      </c>
      <c r="P85" s="28">
        <f>'2 Confluence Parkway'!P48</f>
        <v>0</v>
      </c>
      <c r="Q85" s="28">
        <f>'2 Confluence Parkway'!Q48</f>
        <v>0</v>
      </c>
      <c r="R85" s="29" t="e">
        <f t="shared" si="5"/>
        <v>#REF!</v>
      </c>
    </row>
    <row r="86" spans="2:18" hidden="1" x14ac:dyDescent="0.25">
      <c r="C86" t="s">
        <v>37</v>
      </c>
      <c r="D86" s="7">
        <f>'2 Confluence Parkway'!D49</f>
        <v>4400000</v>
      </c>
      <c r="E86" s="107">
        <f>'2 Confluence Parkway'!E49</f>
        <v>4400000</v>
      </c>
      <c r="F86" s="96">
        <f>'2 Confluence Parkway'!F49</f>
        <v>0</v>
      </c>
      <c r="G86" s="87">
        <f>'2 Confluence Parkway'!G49</f>
        <v>0</v>
      </c>
      <c r="H86" s="87">
        <f>'2 Confluence Parkway'!H49</f>
        <v>0</v>
      </c>
      <c r="I86" s="105">
        <f>'2 Confluence Parkway'!I49</f>
        <v>0</v>
      </c>
      <c r="J86" s="28">
        <f>'2 Confluence Parkway'!J49</f>
        <v>0</v>
      </c>
      <c r="K86" s="28">
        <f>'2 Confluence Parkway'!K49</f>
        <v>0</v>
      </c>
      <c r="L86" s="28">
        <f>'2 Confluence Parkway'!M49</f>
        <v>240000</v>
      </c>
      <c r="M86" s="28">
        <f>'2 Confluence Parkway'!N49</f>
        <v>3000000</v>
      </c>
      <c r="N86" s="28">
        <f>'2 Confluence Parkway'!O49</f>
        <v>1160000</v>
      </c>
      <c r="O86" s="28" t="e">
        <f>'2 Confluence Parkway'!#REF!</f>
        <v>#REF!</v>
      </c>
      <c r="P86" s="28">
        <f>'2 Confluence Parkway'!P49</f>
        <v>0</v>
      </c>
      <c r="Q86" s="28">
        <f>'2 Confluence Parkway'!Q49</f>
        <v>0</v>
      </c>
      <c r="R86" s="29" t="e">
        <f t="shared" si="5"/>
        <v>#REF!</v>
      </c>
    </row>
    <row r="87" spans="2:18" hidden="1" x14ac:dyDescent="0.25">
      <c r="C87" t="s">
        <v>23</v>
      </c>
      <c r="D87" s="7">
        <f>'2 Confluence Parkway'!D50</f>
        <v>36669000</v>
      </c>
      <c r="E87" s="107">
        <f>'2 Confluence Parkway'!E50</f>
        <v>36669000</v>
      </c>
      <c r="F87" s="96">
        <f>'2 Confluence Parkway'!F50</f>
        <v>0</v>
      </c>
      <c r="G87" s="87">
        <f>'2 Confluence Parkway'!G50</f>
        <v>0</v>
      </c>
      <c r="H87" s="87">
        <f>'2 Confluence Parkway'!H50</f>
        <v>0</v>
      </c>
      <c r="I87" s="105">
        <f>'2 Confluence Parkway'!I50</f>
        <v>0</v>
      </c>
      <c r="J87" s="28">
        <f>'2 Confluence Parkway'!J50</f>
        <v>0</v>
      </c>
      <c r="K87" s="28">
        <f>'2 Confluence Parkway'!K50</f>
        <v>0</v>
      </c>
      <c r="L87" s="28">
        <f>'2 Confluence Parkway'!M50</f>
        <v>0</v>
      </c>
      <c r="M87" s="28">
        <f>'2 Confluence Parkway'!N50</f>
        <v>25000000</v>
      </c>
      <c r="N87" s="28">
        <f>'2 Confluence Parkway'!O50</f>
        <v>11669000</v>
      </c>
      <c r="O87" s="28" t="e">
        <f>'2 Confluence Parkway'!#REF!</f>
        <v>#REF!</v>
      </c>
      <c r="P87" s="28">
        <f>'2 Confluence Parkway'!P50</f>
        <v>0</v>
      </c>
      <c r="Q87" s="28">
        <f>'2 Confluence Parkway'!Q50</f>
        <v>0</v>
      </c>
      <c r="R87" s="29" t="e">
        <f t="shared" si="5"/>
        <v>#REF!</v>
      </c>
    </row>
    <row r="88" spans="2:18" hidden="1" x14ac:dyDescent="0.25">
      <c r="C88" t="s">
        <v>39</v>
      </c>
      <c r="D88" s="7">
        <f>'2 Confluence Parkway'!D51</f>
        <v>5620328</v>
      </c>
      <c r="E88" s="107">
        <f>'2 Confluence Parkway'!E51</f>
        <v>5620328</v>
      </c>
      <c r="F88" s="96">
        <f>'2 Confluence Parkway'!F51</f>
        <v>0</v>
      </c>
      <c r="G88" s="87">
        <f>'2 Confluence Parkway'!G51</f>
        <v>0</v>
      </c>
      <c r="H88" s="87">
        <f>'2 Confluence Parkway'!H51</f>
        <v>0</v>
      </c>
      <c r="I88" s="105">
        <f>'2 Confluence Parkway'!I51</f>
        <v>0</v>
      </c>
      <c r="J88" s="28">
        <f>'2 Confluence Parkway'!J51</f>
        <v>0</v>
      </c>
      <c r="K88" s="28">
        <f>'2 Confluence Parkway'!L51</f>
        <v>0</v>
      </c>
      <c r="L88" s="28">
        <f>'2 Confluence Parkway'!M51</f>
        <v>0</v>
      </c>
      <c r="M88" s="28">
        <f>'2 Confluence Parkway'!N51</f>
        <v>3000000</v>
      </c>
      <c r="N88" s="28">
        <f>'2 Confluence Parkway'!O51</f>
        <v>2620328</v>
      </c>
      <c r="O88" s="28" t="e">
        <f>'2 Confluence Parkway'!#REF!</f>
        <v>#REF!</v>
      </c>
      <c r="P88" s="28">
        <f>'2 Confluence Parkway'!P51</f>
        <v>0</v>
      </c>
      <c r="Q88" s="28">
        <f>'2 Confluence Parkway'!Q51</f>
        <v>0</v>
      </c>
      <c r="R88" s="29" t="e">
        <f t="shared" si="5"/>
        <v>#REF!</v>
      </c>
    </row>
    <row r="89" spans="2:18" hidden="1" x14ac:dyDescent="0.25">
      <c r="D89" s="7"/>
      <c r="E89" s="107"/>
      <c r="F89" s="96"/>
      <c r="G89" s="87">
        <f>'2 Confluence Parkway'!G52</f>
        <v>0</v>
      </c>
      <c r="H89" s="87">
        <f>'2 Confluence Parkway'!H52</f>
        <v>0</v>
      </c>
      <c r="I89" s="105">
        <f>'2 Confluence Parkway'!I52</f>
        <v>0</v>
      </c>
      <c r="J89" s="28">
        <f>'2 Confluence Parkway'!J52</f>
        <v>0</v>
      </c>
      <c r="K89" s="28">
        <f>'2 Confluence Parkway'!L52</f>
        <v>0</v>
      </c>
      <c r="L89" s="28" t="e">
        <f>'2 Confluence Parkway'!#REF!</f>
        <v>#REF!</v>
      </c>
      <c r="M89" s="28">
        <f>'2 Confluence Parkway'!M52</f>
        <v>0</v>
      </c>
      <c r="N89" s="28">
        <f>'2 Confluence Parkway'!N52</f>
        <v>0</v>
      </c>
      <c r="O89" s="28">
        <f>'2 Confluence Parkway'!O52</f>
        <v>0</v>
      </c>
      <c r="P89" s="28">
        <f>'2 Confluence Parkway'!P52</f>
        <v>0</v>
      </c>
      <c r="Q89" s="28">
        <f>'2 Confluence Parkway'!Q52</f>
        <v>0</v>
      </c>
      <c r="R89" s="29" t="e">
        <f t="shared" si="5"/>
        <v>#REF!</v>
      </c>
    </row>
    <row r="90" spans="2:18" hidden="1" x14ac:dyDescent="0.25">
      <c r="D90" s="7"/>
      <c r="E90" s="107"/>
      <c r="F90" s="96"/>
      <c r="G90" s="87"/>
      <c r="H90" s="176"/>
      <c r="I90" s="134"/>
      <c r="R90" s="29">
        <f t="shared" si="5"/>
        <v>0</v>
      </c>
    </row>
    <row r="91" spans="2:18" x14ac:dyDescent="0.25">
      <c r="B91" t="s">
        <v>28</v>
      </c>
      <c r="D91" s="7">
        <f>'2 Confluence Parkway'!D54</f>
        <v>66861604</v>
      </c>
      <c r="E91" s="107">
        <f>'2 Confluence Parkway'!E54</f>
        <v>69269675</v>
      </c>
      <c r="F91" s="96">
        <f>'2 Confluence Parkway'!F54</f>
        <v>570000</v>
      </c>
      <c r="G91" s="87">
        <f>'2 Confluence Parkway'!G54</f>
        <v>0</v>
      </c>
      <c r="H91" s="87">
        <f>'2 Confluence Parkway'!H54</f>
        <v>638071</v>
      </c>
      <c r="I91" s="105">
        <f>'2 Confluence Parkway'!I54</f>
        <v>700000</v>
      </c>
      <c r="J91" s="87">
        <f>'2 Confluence Parkway'!J54</f>
        <v>500000</v>
      </c>
      <c r="K91" s="87">
        <f>'2 Confluence Parkway'!K54</f>
        <v>1727901</v>
      </c>
      <c r="L91" s="56">
        <f>'2 Confluence Parkway'!L54</f>
        <v>9189400</v>
      </c>
      <c r="M91" s="56">
        <f>'2 Confluence Parkway'!M54</f>
        <v>9165628</v>
      </c>
      <c r="N91" s="56">
        <f>'2 Confluence Parkway'!N54</f>
        <v>25400000</v>
      </c>
      <c r="O91" s="56">
        <f>'2 Confluence Parkway'!O54</f>
        <v>16805675</v>
      </c>
      <c r="P91" s="56">
        <f>'2 Confluence Parkway'!P54</f>
        <v>4573000</v>
      </c>
      <c r="Q91" s="28">
        <f>'2 Confluence Parkway'!Q54</f>
        <v>0</v>
      </c>
      <c r="R91" s="29">
        <f>SUM(F91:Q91)</f>
        <v>69269675</v>
      </c>
    </row>
    <row r="92" spans="2:18" hidden="1" x14ac:dyDescent="0.25">
      <c r="C92" t="s">
        <v>20</v>
      </c>
      <c r="D92" s="7">
        <f>'2 Confluence Parkway'!D55</f>
        <v>4699578</v>
      </c>
      <c r="E92" s="107">
        <f>'2 Confluence Parkway'!E55</f>
        <v>5711000</v>
      </c>
      <c r="F92" s="96">
        <f>'2 Confluence Parkway'!F55</f>
        <v>320000</v>
      </c>
      <c r="G92" s="87">
        <f>'2 Confluence Parkway'!G55</f>
        <v>0</v>
      </c>
      <c r="H92" s="87">
        <f>'2 Confluence Parkway'!H55</f>
        <v>208762</v>
      </c>
      <c r="I92" s="105">
        <f>'2 Confluence Parkway'!I55</f>
        <v>200000</v>
      </c>
      <c r="J92" s="28">
        <f>'2 Confluence Parkway'!J55</f>
        <v>282660</v>
      </c>
      <c r="K92" s="28">
        <f>'2 Confluence Parkway'!K55</f>
        <v>1000000</v>
      </c>
      <c r="L92" s="28">
        <f>'2 Confluence Parkway'!L55</f>
        <v>3699578</v>
      </c>
      <c r="M92" s="28">
        <f>'2 Confluence Parkway'!M55</f>
        <v>0</v>
      </c>
      <c r="N92" s="28">
        <f>'2 Confluence Parkway'!N55</f>
        <v>0</v>
      </c>
      <c r="O92" s="28">
        <f>'2 Confluence Parkway'!O55</f>
        <v>0</v>
      </c>
      <c r="P92" s="28">
        <f>'2 Confluence Parkway'!P55</f>
        <v>0</v>
      </c>
      <c r="Q92" s="28">
        <f>'2 Confluence Parkway'!Q55</f>
        <v>0</v>
      </c>
      <c r="R92" s="29">
        <f t="shared" si="5"/>
        <v>5391000</v>
      </c>
    </row>
    <row r="93" spans="2:18" hidden="1" x14ac:dyDescent="0.25">
      <c r="C93" t="s">
        <v>21</v>
      </c>
      <c r="D93" s="7">
        <f>'2 Confluence Parkway'!D56</f>
        <v>1053351</v>
      </c>
      <c r="E93" s="107">
        <f>'2 Confluence Parkway'!E56</f>
        <v>2450000</v>
      </c>
      <c r="F93" s="96">
        <f>'2 Confluence Parkway'!F56</f>
        <v>250000</v>
      </c>
      <c r="G93" s="87">
        <f>'2 Confluence Parkway'!G56</f>
        <v>0</v>
      </c>
      <c r="H93" s="87">
        <f>'2 Confluence Parkway'!H56</f>
        <v>429309</v>
      </c>
      <c r="I93" s="105">
        <f>'2 Confluence Parkway'!I56</f>
        <v>500000</v>
      </c>
      <c r="J93" s="28">
        <f>'2 Confluence Parkway'!J56</f>
        <v>217340</v>
      </c>
      <c r="K93" s="28">
        <f>'2 Confluence Parkway'!K56</f>
        <v>727901</v>
      </c>
      <c r="L93" s="28">
        <f>'2 Confluence Parkway'!L56</f>
        <v>325450</v>
      </c>
      <c r="M93" s="28">
        <f>'2 Confluence Parkway'!M56</f>
        <v>0</v>
      </c>
      <c r="N93" s="28">
        <f>'2 Confluence Parkway'!N56</f>
        <v>0</v>
      </c>
      <c r="O93" s="28">
        <f>'2 Confluence Parkway'!O56</f>
        <v>0</v>
      </c>
      <c r="P93" s="28">
        <f>'2 Confluence Parkway'!P56</f>
        <v>0</v>
      </c>
      <c r="Q93" s="28">
        <f>'2 Confluence Parkway'!Q56</f>
        <v>0</v>
      </c>
      <c r="R93" s="29">
        <f t="shared" si="5"/>
        <v>2200000</v>
      </c>
    </row>
    <row r="94" spans="2:18" hidden="1" x14ac:dyDescent="0.25">
      <c r="C94" t="s">
        <v>22</v>
      </c>
      <c r="D94" s="7">
        <f>'2 Confluence Parkway'!D57</f>
        <v>9970000</v>
      </c>
      <c r="E94" s="107">
        <f>'2 Confluence Parkway'!E57</f>
        <v>9970000</v>
      </c>
      <c r="F94" s="96">
        <f>'2 Confluence Parkway'!F57</f>
        <v>0</v>
      </c>
      <c r="G94" s="87">
        <f>'2 Confluence Parkway'!G57</f>
        <v>0</v>
      </c>
      <c r="H94" s="87">
        <f>'2 Confluence Parkway'!H57</f>
        <v>0</v>
      </c>
      <c r="I94" s="105">
        <f>'2 Confluence Parkway'!I57</f>
        <v>0</v>
      </c>
      <c r="J94" s="28">
        <f>'2 Confluence Parkway'!J57</f>
        <v>0</v>
      </c>
      <c r="K94" s="28">
        <f>'2 Confluence Parkway'!L57</f>
        <v>5164372</v>
      </c>
      <c r="L94" s="28">
        <f>'2 Confluence Parkway'!M57</f>
        <v>4805628</v>
      </c>
      <c r="M94" s="28" t="e">
        <f>'2 Confluence Parkway'!#REF!</f>
        <v>#REF!</v>
      </c>
      <c r="N94" s="28">
        <f>'2 Confluence Parkway'!N57</f>
        <v>0</v>
      </c>
      <c r="O94" s="28">
        <f>'2 Confluence Parkway'!O57</f>
        <v>0</v>
      </c>
      <c r="P94" s="28">
        <f>'2 Confluence Parkway'!P57</f>
        <v>0</v>
      </c>
      <c r="Q94" s="28">
        <f>'2 Confluence Parkway'!Q57</f>
        <v>0</v>
      </c>
      <c r="R94" s="29" t="e">
        <f t="shared" si="5"/>
        <v>#REF!</v>
      </c>
    </row>
    <row r="95" spans="2:18" hidden="1" x14ac:dyDescent="0.25">
      <c r="C95" t="s">
        <v>37</v>
      </c>
      <c r="D95" s="7">
        <f>'2 Confluence Parkway'!D58</f>
        <v>4312700</v>
      </c>
      <c r="E95" s="107">
        <f>'2 Confluence Parkway'!E58</f>
        <v>4312700</v>
      </c>
      <c r="F95" s="96">
        <f>'2 Confluence Parkway'!F58</f>
        <v>0</v>
      </c>
      <c r="G95" s="87">
        <f>'2 Confluence Parkway'!G58</f>
        <v>0</v>
      </c>
      <c r="H95" s="87">
        <f>'2 Confluence Parkway'!H58</f>
        <v>0</v>
      </c>
      <c r="I95" s="105">
        <f>'2 Confluence Parkway'!I58</f>
        <v>0</v>
      </c>
      <c r="J95" s="28">
        <f>'2 Confluence Parkway'!J58</f>
        <v>0</v>
      </c>
      <c r="K95" s="28">
        <f>'2 Confluence Parkway'!K58</f>
        <v>0</v>
      </c>
      <c r="L95" s="28">
        <f>'2 Confluence Parkway'!M58</f>
        <v>360000</v>
      </c>
      <c r="M95" s="28">
        <f>'2 Confluence Parkway'!N58</f>
        <v>2400000</v>
      </c>
      <c r="N95" s="28">
        <f>'2 Confluence Parkway'!O58</f>
        <v>1200000</v>
      </c>
      <c r="O95" s="28">
        <f>'2 Confluence Parkway'!P58</f>
        <v>352700</v>
      </c>
      <c r="P95" s="28" t="e">
        <f>'2 Confluence Parkway'!#REF!</f>
        <v>#REF!</v>
      </c>
      <c r="Q95" s="28">
        <f>'2 Confluence Parkway'!Q58</f>
        <v>0</v>
      </c>
      <c r="R95" s="29" t="e">
        <f t="shared" si="5"/>
        <v>#REF!</v>
      </c>
    </row>
    <row r="96" spans="2:18" hidden="1" x14ac:dyDescent="0.25">
      <c r="C96" t="s">
        <v>23</v>
      </c>
      <c r="D96" s="7">
        <f>'2 Confluence Parkway'!D59</f>
        <v>35939000</v>
      </c>
      <c r="E96" s="107">
        <f>'2 Confluence Parkway'!E59</f>
        <v>35939000</v>
      </c>
      <c r="F96" s="96">
        <f>'2 Confluence Parkway'!F59</f>
        <v>0</v>
      </c>
      <c r="G96" s="87">
        <f>'2 Confluence Parkway'!G59</f>
        <v>0</v>
      </c>
      <c r="H96" s="87">
        <f>'2 Confluence Parkway'!H59</f>
        <v>0</v>
      </c>
      <c r="I96" s="105">
        <f>'2 Confluence Parkway'!I59</f>
        <v>0</v>
      </c>
      <c r="J96" s="28">
        <f>'2 Confluence Parkway'!J59</f>
        <v>0</v>
      </c>
      <c r="K96" s="28">
        <f>'2 Confluence Parkway'!K59</f>
        <v>0</v>
      </c>
      <c r="L96" s="28">
        <f>'2 Confluence Parkway'!M59</f>
        <v>3000000</v>
      </c>
      <c r="M96" s="28">
        <f>'2 Confluence Parkway'!N59</f>
        <v>20000000</v>
      </c>
      <c r="N96" s="28">
        <f>'2 Confluence Parkway'!O59</f>
        <v>10000000</v>
      </c>
      <c r="O96" s="28">
        <f>'2 Confluence Parkway'!P59</f>
        <v>2939000</v>
      </c>
      <c r="P96" s="28" t="e">
        <f>'2 Confluence Parkway'!#REF!</f>
        <v>#REF!</v>
      </c>
      <c r="Q96" s="28">
        <f>'2 Confluence Parkway'!Q59</f>
        <v>0</v>
      </c>
      <c r="R96" s="29" t="e">
        <f t="shared" si="5"/>
        <v>#REF!</v>
      </c>
    </row>
    <row r="97" spans="1:18" hidden="1" x14ac:dyDescent="0.25">
      <c r="C97" t="s">
        <v>39</v>
      </c>
      <c r="D97" s="7">
        <f>'2 Confluence Parkway'!D60</f>
        <v>10886975</v>
      </c>
      <c r="E97" s="107">
        <f>'2 Confluence Parkway'!E60</f>
        <v>10886975</v>
      </c>
      <c r="F97" s="96">
        <f>'2 Confluence Parkway'!F60</f>
        <v>0</v>
      </c>
      <c r="G97" s="87">
        <f>'2 Confluence Parkway'!G60</f>
        <v>0</v>
      </c>
      <c r="H97" s="87">
        <f>'2 Confluence Parkway'!H60</f>
        <v>0</v>
      </c>
      <c r="I97" s="105">
        <f>'2 Confluence Parkway'!I60</f>
        <v>0</v>
      </c>
      <c r="J97" s="28">
        <f>'2 Confluence Parkway'!J60</f>
        <v>0</v>
      </c>
      <c r="K97" s="28">
        <f>'2 Confluence Parkway'!K60</f>
        <v>0</v>
      </c>
      <c r="L97" s="28">
        <f>'2 Confluence Parkway'!M60</f>
        <v>1000000</v>
      </c>
      <c r="M97" s="28">
        <f>'2 Confluence Parkway'!N60</f>
        <v>3000000</v>
      </c>
      <c r="N97" s="28">
        <f>'2 Confluence Parkway'!O60</f>
        <v>5605675</v>
      </c>
      <c r="O97" s="28">
        <f>'2 Confluence Parkway'!P60</f>
        <v>1281300</v>
      </c>
      <c r="P97" s="28" t="e">
        <f>'2 Confluence Parkway'!#REF!</f>
        <v>#REF!</v>
      </c>
      <c r="Q97" s="28">
        <f>'2 Confluence Parkway'!Q60</f>
        <v>0</v>
      </c>
      <c r="R97" s="29" t="e">
        <f t="shared" si="5"/>
        <v>#REF!</v>
      </c>
    </row>
    <row r="98" spans="1:18" hidden="1" x14ac:dyDescent="0.25">
      <c r="D98" s="7"/>
      <c r="E98" s="107"/>
      <c r="F98" s="96"/>
      <c r="G98" s="87">
        <f>'2 Confluence Parkway'!G61</f>
        <v>0</v>
      </c>
      <c r="H98" s="87">
        <f>'2 Confluence Parkway'!H61</f>
        <v>0</v>
      </c>
      <c r="I98" s="105">
        <f>'2 Confluence Parkway'!I61</f>
        <v>0</v>
      </c>
      <c r="J98" s="28">
        <f>'2 Confluence Parkway'!J61</f>
        <v>0</v>
      </c>
      <c r="K98" s="28">
        <f>'2 Confluence Parkway'!K61</f>
        <v>0</v>
      </c>
      <c r="L98" s="28">
        <f>'2 Confluence Parkway'!L61</f>
        <v>0</v>
      </c>
      <c r="M98" s="28">
        <f>'2 Confluence Parkway'!M61</f>
        <v>0</v>
      </c>
      <c r="N98" s="28">
        <f>'2 Confluence Parkway'!N61</f>
        <v>0</v>
      </c>
      <c r="O98" s="28">
        <f>'2 Confluence Parkway'!O61</f>
        <v>0</v>
      </c>
      <c r="P98" s="28">
        <f>'2 Confluence Parkway'!P61</f>
        <v>0</v>
      </c>
      <c r="Q98" s="28">
        <f>'2 Confluence Parkway'!Q61</f>
        <v>0</v>
      </c>
      <c r="R98" s="29">
        <f t="shared" si="5"/>
        <v>0</v>
      </c>
    </row>
    <row r="99" spans="1:18" hidden="1" x14ac:dyDescent="0.25">
      <c r="D99" s="7"/>
      <c r="E99" s="107"/>
      <c r="F99" s="96"/>
      <c r="G99" s="87"/>
      <c r="H99" s="176"/>
      <c r="I99" s="134"/>
      <c r="R99" s="29">
        <f t="shared" si="5"/>
        <v>0</v>
      </c>
    </row>
    <row r="100" spans="1:18" x14ac:dyDescent="0.25">
      <c r="A100" s="2"/>
      <c r="B100" t="s">
        <v>294</v>
      </c>
      <c r="C100" s="2"/>
      <c r="D100" s="7">
        <f>'2 Confluence Parkway'!D64</f>
        <v>10000000</v>
      </c>
      <c r="E100" s="107">
        <f>'2 Confluence Parkway'!E64</f>
        <v>10050000</v>
      </c>
      <c r="F100" s="96">
        <f>'2 Confluence Parkway'!F64</f>
        <v>50000</v>
      </c>
      <c r="G100" s="87">
        <f>'2 Confluence Parkway'!G64</f>
        <v>0</v>
      </c>
      <c r="H100" s="87">
        <f>'2 Confluence Parkway'!H64</f>
        <v>0</v>
      </c>
      <c r="I100" s="105">
        <f>'2 Confluence Parkway'!I64</f>
        <v>0</v>
      </c>
      <c r="J100" s="87">
        <f>'2 Confluence Parkway'!J64</f>
        <v>0</v>
      </c>
      <c r="K100" s="87">
        <f>'2 Confluence Parkway'!K64</f>
        <v>800000</v>
      </c>
      <c r="L100" s="56">
        <f>'2 Confluence Parkway'!L64</f>
        <v>4600000</v>
      </c>
      <c r="M100" s="56">
        <f>'2 Confluence Parkway'!M64</f>
        <v>4600000</v>
      </c>
      <c r="N100" s="53">
        <f>'2 Confluence Parkway'!N64</f>
        <v>0</v>
      </c>
      <c r="O100" s="53">
        <f>'2 Confluence Parkway'!O64</f>
        <v>0</v>
      </c>
      <c r="P100" s="53">
        <f>'2 Confluence Parkway'!P64</f>
        <v>0</v>
      </c>
      <c r="Q100" s="54">
        <f>'2 Confluence Parkway'!Q64</f>
        <v>0</v>
      </c>
      <c r="R100" s="29">
        <f>SUM(F100:Q100)</f>
        <v>10050000</v>
      </c>
    </row>
    <row r="101" spans="1:18" hidden="1" x14ac:dyDescent="0.25">
      <c r="C101" t="s">
        <v>20</v>
      </c>
      <c r="D101" s="7">
        <f>'2 Confluence Parkway'!D65</f>
        <v>600000</v>
      </c>
      <c r="E101" s="107"/>
      <c r="F101" s="96">
        <f>'2 Confluence Parkway'!F65</f>
        <v>50000</v>
      </c>
      <c r="G101" s="53">
        <f>'2 Confluence Parkway'!G65</f>
        <v>0</v>
      </c>
      <c r="H101" s="53">
        <f>'2 Confluence Parkway'!H65</f>
        <v>0</v>
      </c>
      <c r="I101" s="54">
        <f>'2 Confluence Parkway'!I65</f>
        <v>0</v>
      </c>
      <c r="J101" s="53">
        <f>'2 Confluence Parkway'!J65</f>
        <v>0</v>
      </c>
      <c r="K101" s="53">
        <f>'2 Confluence Parkway'!K65</f>
        <v>600000</v>
      </c>
      <c r="L101" s="53">
        <f>'2 Confluence Parkway'!L65</f>
        <v>0</v>
      </c>
      <c r="M101" s="53">
        <f>'2 Confluence Parkway'!M65</f>
        <v>0</v>
      </c>
      <c r="N101" s="53">
        <f>'2 Confluence Parkway'!N65</f>
        <v>0</v>
      </c>
      <c r="O101" s="53">
        <f>'2 Confluence Parkway'!O65</f>
        <v>0</v>
      </c>
      <c r="P101" s="53">
        <f>'2 Confluence Parkway'!P65</f>
        <v>0</v>
      </c>
      <c r="Q101" s="54">
        <f>'2 Confluence Parkway'!Q65</f>
        <v>0</v>
      </c>
      <c r="R101" s="29">
        <f t="shared" si="5"/>
        <v>600000</v>
      </c>
    </row>
    <row r="102" spans="1:18" hidden="1" x14ac:dyDescent="0.25">
      <c r="C102" t="s">
        <v>21</v>
      </c>
      <c r="D102" s="7">
        <f>'2 Confluence Parkway'!D66</f>
        <v>200000</v>
      </c>
      <c r="E102" s="107"/>
      <c r="F102" s="96">
        <f>'2 Confluence Parkway'!F66</f>
        <v>0</v>
      </c>
      <c r="G102" s="53">
        <f>'2 Confluence Parkway'!G66</f>
        <v>0</v>
      </c>
      <c r="H102" s="53">
        <f>'2 Confluence Parkway'!H66</f>
        <v>0</v>
      </c>
      <c r="I102" s="54">
        <f>'2 Confluence Parkway'!I66</f>
        <v>0</v>
      </c>
      <c r="J102" s="53">
        <f>'2 Confluence Parkway'!J66</f>
        <v>0</v>
      </c>
      <c r="K102" s="53">
        <f>'2 Confluence Parkway'!K66</f>
        <v>200000</v>
      </c>
      <c r="L102" s="53">
        <f>'2 Confluence Parkway'!L66</f>
        <v>0</v>
      </c>
      <c r="M102" s="53">
        <f>'2 Confluence Parkway'!M66</f>
        <v>0</v>
      </c>
      <c r="N102" s="53">
        <f>'2 Confluence Parkway'!N66</f>
        <v>0</v>
      </c>
      <c r="O102" s="53">
        <f>'2 Confluence Parkway'!O66</f>
        <v>0</v>
      </c>
      <c r="P102" s="53">
        <f>'2 Confluence Parkway'!P66</f>
        <v>0</v>
      </c>
      <c r="Q102" s="54">
        <f>'2 Confluence Parkway'!Q66</f>
        <v>0</v>
      </c>
      <c r="R102" s="29">
        <f t="shared" si="5"/>
        <v>200000</v>
      </c>
    </row>
    <row r="103" spans="1:18" hidden="1" x14ac:dyDescent="0.25">
      <c r="C103" t="s">
        <v>22</v>
      </c>
      <c r="D103" s="7">
        <f>'2 Confluence Parkway'!D67</f>
        <v>0</v>
      </c>
      <c r="E103" s="107"/>
      <c r="F103" s="96">
        <f>'2 Confluence Parkway'!F67</f>
        <v>0</v>
      </c>
      <c r="G103" s="53">
        <f>'2 Confluence Parkway'!G67</f>
        <v>0</v>
      </c>
      <c r="H103" s="53">
        <f>'2 Confluence Parkway'!H67</f>
        <v>0</v>
      </c>
      <c r="I103" s="54">
        <f>'2 Confluence Parkway'!I67</f>
        <v>0</v>
      </c>
      <c r="J103" s="53">
        <f>'2 Confluence Parkway'!J67</f>
        <v>0</v>
      </c>
      <c r="K103" s="53">
        <f>'2 Confluence Parkway'!K67</f>
        <v>0</v>
      </c>
      <c r="L103" s="53">
        <f>'2 Confluence Parkway'!L67</f>
        <v>0</v>
      </c>
      <c r="M103" s="53">
        <f>'2 Confluence Parkway'!M67</f>
        <v>0</v>
      </c>
      <c r="N103" s="53">
        <f>'2 Confluence Parkway'!N67</f>
        <v>0</v>
      </c>
      <c r="O103" s="53">
        <f>'2 Confluence Parkway'!O67</f>
        <v>0</v>
      </c>
      <c r="P103" s="53">
        <f>'2 Confluence Parkway'!P67</f>
        <v>0</v>
      </c>
      <c r="Q103" s="54">
        <f>'2 Confluence Parkway'!Q67</f>
        <v>0</v>
      </c>
      <c r="R103" s="29">
        <f t="shared" si="5"/>
        <v>0</v>
      </c>
    </row>
    <row r="104" spans="1:18" hidden="1" x14ac:dyDescent="0.25">
      <c r="C104" t="s">
        <v>37</v>
      </c>
      <c r="D104" s="7">
        <f>'2 Confluence Parkway'!D68</f>
        <v>1040000</v>
      </c>
      <c r="E104" s="107"/>
      <c r="F104" s="96">
        <f>'2 Confluence Parkway'!F68</f>
        <v>0</v>
      </c>
      <c r="G104" s="53">
        <f>'2 Confluence Parkway'!G68</f>
        <v>0</v>
      </c>
      <c r="H104" s="53">
        <f>'2 Confluence Parkway'!H68</f>
        <v>0</v>
      </c>
      <c r="I104" s="54">
        <f>'2 Confluence Parkway'!I68</f>
        <v>0</v>
      </c>
      <c r="J104" s="53">
        <f>'2 Confluence Parkway'!J68</f>
        <v>0</v>
      </c>
      <c r="K104" s="53">
        <f>'2 Confluence Parkway'!K68</f>
        <v>0</v>
      </c>
      <c r="L104" s="53">
        <f>'2 Confluence Parkway'!L68</f>
        <v>520000</v>
      </c>
      <c r="M104" s="53">
        <f>'2 Confluence Parkway'!M68</f>
        <v>520000</v>
      </c>
      <c r="N104" s="53">
        <f>'2 Confluence Parkway'!N68</f>
        <v>0</v>
      </c>
      <c r="O104" s="53">
        <f>'2 Confluence Parkway'!O68</f>
        <v>0</v>
      </c>
      <c r="P104" s="53">
        <f>'2 Confluence Parkway'!P68</f>
        <v>0</v>
      </c>
      <c r="Q104" s="54">
        <f>'2 Confluence Parkway'!Q68</f>
        <v>0</v>
      </c>
      <c r="R104" s="29">
        <f t="shared" si="5"/>
        <v>1040000</v>
      </c>
    </row>
    <row r="105" spans="1:18" hidden="1" x14ac:dyDescent="0.25">
      <c r="C105" t="s">
        <v>23</v>
      </c>
      <c r="D105" s="7">
        <f>'2 Confluence Parkway'!D69</f>
        <v>5400000</v>
      </c>
      <c r="E105" s="107"/>
      <c r="F105" s="96">
        <f>'2 Confluence Parkway'!F69</f>
        <v>0</v>
      </c>
      <c r="G105" s="53">
        <f>'2 Confluence Parkway'!G69</f>
        <v>0</v>
      </c>
      <c r="H105" s="53">
        <f>'2 Confluence Parkway'!H69</f>
        <v>0</v>
      </c>
      <c r="I105" s="54">
        <f>'2 Confluence Parkway'!I69</f>
        <v>0</v>
      </c>
      <c r="J105" s="53">
        <f>'2 Confluence Parkway'!J69</f>
        <v>0</v>
      </c>
      <c r="K105" s="53">
        <f>'2 Confluence Parkway'!K69</f>
        <v>0</v>
      </c>
      <c r="L105" s="53">
        <f>'2 Confluence Parkway'!L69</f>
        <v>2700000</v>
      </c>
      <c r="M105" s="53">
        <f>'2 Confluence Parkway'!M69</f>
        <v>2700000</v>
      </c>
      <c r="N105" s="53">
        <f>'2 Confluence Parkway'!N69</f>
        <v>0</v>
      </c>
      <c r="O105" s="53">
        <f>'2 Confluence Parkway'!O69</f>
        <v>0</v>
      </c>
      <c r="P105" s="53">
        <f>'2 Confluence Parkway'!P69</f>
        <v>0</v>
      </c>
      <c r="Q105" s="54">
        <f>'2 Confluence Parkway'!Q69</f>
        <v>0</v>
      </c>
      <c r="R105" s="29">
        <f t="shared" si="5"/>
        <v>5400000</v>
      </c>
    </row>
    <row r="106" spans="1:18" hidden="1" x14ac:dyDescent="0.25">
      <c r="C106" t="s">
        <v>40</v>
      </c>
      <c r="D106" s="7">
        <f>'2 Confluence Parkway'!D70</f>
        <v>2760000</v>
      </c>
      <c r="E106" s="107"/>
      <c r="F106" s="96">
        <f>'2 Confluence Parkway'!F70</f>
        <v>0</v>
      </c>
      <c r="G106" s="53">
        <f>'2 Confluence Parkway'!G70</f>
        <v>0</v>
      </c>
      <c r="H106" s="53">
        <f>'2 Confluence Parkway'!H70</f>
        <v>0</v>
      </c>
      <c r="I106" s="54">
        <f>'2 Confluence Parkway'!I70</f>
        <v>0</v>
      </c>
      <c r="J106" s="53">
        <f>'2 Confluence Parkway'!J70</f>
        <v>0</v>
      </c>
      <c r="K106" s="53">
        <f>'2 Confluence Parkway'!K70</f>
        <v>0</v>
      </c>
      <c r="L106" s="53">
        <f>'2 Confluence Parkway'!L70</f>
        <v>1380000</v>
      </c>
      <c r="M106" s="53">
        <f>'2 Confluence Parkway'!M70</f>
        <v>1380000</v>
      </c>
      <c r="N106" s="53">
        <f>'2 Confluence Parkway'!N70</f>
        <v>0</v>
      </c>
      <c r="O106" s="53">
        <f>'2 Confluence Parkway'!O70</f>
        <v>0</v>
      </c>
      <c r="P106" s="53">
        <f>'2 Confluence Parkway'!P70</f>
        <v>0</v>
      </c>
      <c r="Q106" s="54">
        <f>'2 Confluence Parkway'!Q70</f>
        <v>0</v>
      </c>
      <c r="R106" s="29">
        <f t="shared" si="5"/>
        <v>2760000</v>
      </c>
    </row>
    <row r="107" spans="1:18" x14ac:dyDescent="0.25">
      <c r="D107" s="7"/>
      <c r="E107" s="107"/>
      <c r="F107" s="96"/>
      <c r="G107" s="28"/>
      <c r="H107" s="43"/>
      <c r="I107" s="104"/>
      <c r="R107" s="29">
        <f t="shared" si="5"/>
        <v>0</v>
      </c>
    </row>
    <row r="108" spans="1:18" x14ac:dyDescent="0.25">
      <c r="A108" s="2" t="s">
        <v>55</v>
      </c>
      <c r="B108" s="2"/>
      <c r="C108" s="2"/>
      <c r="D108" s="39">
        <f>D110+D119</f>
        <v>16364756</v>
      </c>
      <c r="E108" s="120">
        <f>E110+E119</f>
        <v>17242134</v>
      </c>
      <c r="F108" s="124">
        <f>F110+F119</f>
        <v>264082</v>
      </c>
      <c r="G108" s="66">
        <f t="shared" ref="G108:Q108" si="8">G110+G119</f>
        <v>139257</v>
      </c>
      <c r="H108" s="66">
        <f t="shared" si="8"/>
        <v>474039</v>
      </c>
      <c r="I108" s="67">
        <f t="shared" si="8"/>
        <v>0</v>
      </c>
      <c r="J108" s="66">
        <f t="shared" si="8"/>
        <v>0</v>
      </c>
      <c r="K108" s="66">
        <f t="shared" si="8"/>
        <v>741601</v>
      </c>
      <c r="L108" s="66">
        <f t="shared" si="8"/>
        <v>600216</v>
      </c>
      <c r="M108" s="66">
        <f t="shared" si="8"/>
        <v>7306266</v>
      </c>
      <c r="N108" s="66">
        <f t="shared" si="8"/>
        <v>5016969</v>
      </c>
      <c r="O108" s="66">
        <f t="shared" si="8"/>
        <v>2699704</v>
      </c>
      <c r="P108" s="66">
        <f t="shared" si="8"/>
        <v>0</v>
      </c>
      <c r="Q108" s="67">
        <f t="shared" si="8"/>
        <v>0</v>
      </c>
      <c r="R108" s="58">
        <f>SUM(F108:Q108)</f>
        <v>17242134</v>
      </c>
    </row>
    <row r="109" spans="1:18" hidden="1" x14ac:dyDescent="0.25">
      <c r="D109" s="7"/>
      <c r="E109" s="107"/>
      <c r="F109" s="96"/>
      <c r="G109" s="28"/>
      <c r="H109" s="43"/>
      <c r="I109" s="104"/>
      <c r="R109" s="29">
        <f t="shared" si="5"/>
        <v>0</v>
      </c>
    </row>
    <row r="110" spans="1:18" x14ac:dyDescent="0.25">
      <c r="B110" t="s">
        <v>54</v>
      </c>
      <c r="D110" s="16">
        <f>'3 Cascade Int'!D45</f>
        <v>16364756</v>
      </c>
      <c r="E110" s="107">
        <f>'3 Cascade Int'!E45</f>
        <v>16628838</v>
      </c>
      <c r="F110" s="100">
        <f>'3 Cascade Int'!F45</f>
        <v>264082</v>
      </c>
      <c r="G110" s="87">
        <f>'3 Cascade Int'!G45</f>
        <v>0</v>
      </c>
      <c r="H110" s="87">
        <f>'3 Cascade Int'!H45</f>
        <v>0</v>
      </c>
      <c r="I110" s="105">
        <f>'3 Cascade Int'!I45</f>
        <v>0</v>
      </c>
      <c r="J110" s="87">
        <f>'3 Cascade Int'!J45</f>
        <v>0</v>
      </c>
      <c r="K110" s="87">
        <f>'3 Cascade Int'!K45</f>
        <v>741601</v>
      </c>
      <c r="L110" s="87">
        <f>'3 Cascade Int'!L45</f>
        <v>600216</v>
      </c>
      <c r="M110" s="42">
        <f>'3 Cascade Int'!M45</f>
        <v>7306266</v>
      </c>
      <c r="N110" s="42">
        <f>'3 Cascade Int'!N45</f>
        <v>5016969</v>
      </c>
      <c r="O110" s="42">
        <f>'3 Cascade Int'!O45</f>
        <v>2699704</v>
      </c>
      <c r="P110" s="28">
        <f>'3 Cascade Int'!P45</f>
        <v>0</v>
      </c>
      <c r="Q110" s="28">
        <f>'3 Cascade Int'!Q45</f>
        <v>0</v>
      </c>
      <c r="R110" s="29">
        <f>SUM(F110:Q110)</f>
        <v>16628838</v>
      </c>
    </row>
    <row r="111" spans="1:18" hidden="1" x14ac:dyDescent="0.25">
      <c r="C111" t="s">
        <v>20</v>
      </c>
      <c r="D111" s="16">
        <f>'3 Cascade Int'!D47</f>
        <v>1072179</v>
      </c>
      <c r="E111" s="107">
        <f>'3 Cascade Int'!E47</f>
        <v>1336261</v>
      </c>
      <c r="F111" s="100">
        <f>'3 Cascade Int'!F47</f>
        <v>264082</v>
      </c>
      <c r="G111" s="87">
        <f>'3 Cascade Int'!G47</f>
        <v>0</v>
      </c>
      <c r="H111" s="87">
        <f>'3 Cascade Int'!H47</f>
        <v>0</v>
      </c>
      <c r="I111" s="41">
        <f>'3 Cascade Int'!I47</f>
        <v>0</v>
      </c>
      <c r="J111" s="28">
        <f>'3 Cascade Int'!J47</f>
        <v>0</v>
      </c>
      <c r="K111" s="28">
        <f>'3 Cascade Int'!K47</f>
        <v>635658</v>
      </c>
      <c r="L111" s="28">
        <f>'3 Cascade Int'!L47</f>
        <v>436521</v>
      </c>
      <c r="M111" s="28">
        <f>'3 Cascade Int'!M47</f>
        <v>0</v>
      </c>
      <c r="N111" s="28">
        <f>'3 Cascade Int'!N47</f>
        <v>0</v>
      </c>
      <c r="O111" s="28">
        <f>'3 Cascade Int'!O47</f>
        <v>0</v>
      </c>
      <c r="P111" s="28">
        <f>'3 Cascade Int'!P47</f>
        <v>0</v>
      </c>
      <c r="Q111" s="28">
        <f>'3 Cascade Int'!Q47</f>
        <v>0</v>
      </c>
      <c r="R111" s="29">
        <f t="shared" si="5"/>
        <v>1072179</v>
      </c>
    </row>
    <row r="112" spans="1:18" hidden="1" x14ac:dyDescent="0.25">
      <c r="C112" t="s">
        <v>21</v>
      </c>
      <c r="D112" s="16">
        <f>'3 Cascade Int'!D48</f>
        <v>269638</v>
      </c>
      <c r="E112" s="107">
        <f>'3 Cascade Int'!E48</f>
        <v>269638</v>
      </c>
      <c r="F112" s="100">
        <f>'3 Cascade Int'!F48</f>
        <v>0</v>
      </c>
      <c r="G112" s="87">
        <f>'3 Cascade Int'!G48</f>
        <v>0</v>
      </c>
      <c r="H112" s="87">
        <f>'3 Cascade Int'!H48</f>
        <v>0</v>
      </c>
      <c r="I112" s="41">
        <f>'3 Cascade Int'!I48</f>
        <v>0</v>
      </c>
      <c r="J112" s="28">
        <f>'3 Cascade Int'!J48</f>
        <v>0</v>
      </c>
      <c r="K112" s="28">
        <f>'3 Cascade Int'!K48</f>
        <v>105943</v>
      </c>
      <c r="L112" s="28">
        <f>'3 Cascade Int'!L48</f>
        <v>163695</v>
      </c>
      <c r="M112" s="28">
        <f>'3 Cascade Int'!M48</f>
        <v>0</v>
      </c>
      <c r="N112" s="28">
        <f>'3 Cascade Int'!N48</f>
        <v>0</v>
      </c>
      <c r="O112" s="28">
        <f>'3 Cascade Int'!O48</f>
        <v>0</v>
      </c>
      <c r="P112" s="28">
        <f>'3 Cascade Int'!P48</f>
        <v>0</v>
      </c>
      <c r="Q112" s="28">
        <f>'3 Cascade Int'!Q48</f>
        <v>0</v>
      </c>
      <c r="R112" s="29">
        <f t="shared" si="5"/>
        <v>269638</v>
      </c>
    </row>
    <row r="113" spans="1:18" hidden="1" x14ac:dyDescent="0.25">
      <c r="C113" t="s">
        <v>22</v>
      </c>
      <c r="D113" s="16">
        <f>'3 Cascade Int'!D49</f>
        <v>0</v>
      </c>
      <c r="E113" s="107">
        <f>'3 Cascade Int'!E49</f>
        <v>0</v>
      </c>
      <c r="F113" s="100">
        <f>'3 Cascade Int'!F49</f>
        <v>0</v>
      </c>
      <c r="G113" s="87">
        <f>'3 Cascade Int'!G49</f>
        <v>0</v>
      </c>
      <c r="H113" s="87">
        <f>'3 Cascade Int'!H49</f>
        <v>0</v>
      </c>
      <c r="I113" s="41">
        <f>'3 Cascade Int'!I49</f>
        <v>0</v>
      </c>
      <c r="J113" s="28">
        <f>'3 Cascade Int'!J49</f>
        <v>0</v>
      </c>
      <c r="K113" s="28">
        <f>'3 Cascade Int'!K49</f>
        <v>0</v>
      </c>
      <c r="L113" s="28">
        <f>'3 Cascade Int'!L49</f>
        <v>0</v>
      </c>
      <c r="M113" s="28">
        <f>'3 Cascade Int'!M49</f>
        <v>0</v>
      </c>
      <c r="N113" s="28">
        <f>'3 Cascade Int'!N49</f>
        <v>0</v>
      </c>
      <c r="O113" s="28">
        <f>'3 Cascade Int'!O49</f>
        <v>0</v>
      </c>
      <c r="P113" s="28">
        <f>'3 Cascade Int'!P49</f>
        <v>0</v>
      </c>
      <c r="Q113" s="28">
        <f>'3 Cascade Int'!Q49</f>
        <v>0</v>
      </c>
      <c r="R113" s="29">
        <f t="shared" ref="R113:R137" si="9">SUM(G113:Q113)</f>
        <v>0</v>
      </c>
    </row>
    <row r="114" spans="1:18" hidden="1" x14ac:dyDescent="0.25">
      <c r="C114" t="s">
        <v>37</v>
      </c>
      <c r="D114" s="16">
        <f>'3 Cascade Int'!D50</f>
        <v>1421912</v>
      </c>
      <c r="E114" s="107">
        <f>'3 Cascade Int'!E50</f>
        <v>1421912</v>
      </c>
      <c r="F114" s="100">
        <f>'3 Cascade Int'!F50</f>
        <v>0</v>
      </c>
      <c r="G114" s="87">
        <f>'3 Cascade Int'!G50</f>
        <v>0</v>
      </c>
      <c r="H114" s="87">
        <f>'3 Cascade Int'!H50</f>
        <v>0</v>
      </c>
      <c r="I114" s="41">
        <f>'3 Cascade Int'!I50</f>
        <v>0</v>
      </c>
      <c r="J114" s="28">
        <f>'3 Cascade Int'!J50</f>
        <v>0</v>
      </c>
      <c r="K114" s="28">
        <f>'3 Cascade Int'!K50</f>
        <v>0</v>
      </c>
      <c r="L114" s="28">
        <f>'3 Cascade Int'!L50</f>
        <v>0</v>
      </c>
      <c r="M114" s="28">
        <f>'3 Cascade Int'!M50</f>
        <v>843031</v>
      </c>
      <c r="N114" s="28">
        <f>'3 Cascade Int'!N50</f>
        <v>578881</v>
      </c>
      <c r="O114" s="28">
        <f>'3 Cascade Int'!O50</f>
        <v>0</v>
      </c>
      <c r="P114" s="28">
        <f>'3 Cascade Int'!P50</f>
        <v>0</v>
      </c>
      <c r="Q114" s="28">
        <f>'3 Cascade Int'!Q50</f>
        <v>0</v>
      </c>
      <c r="R114" s="29">
        <f t="shared" si="9"/>
        <v>1421912</v>
      </c>
    </row>
    <row r="115" spans="1:18" hidden="1" x14ac:dyDescent="0.25">
      <c r="C115" t="s">
        <v>23</v>
      </c>
      <c r="D115" s="16">
        <f>'3 Cascade Int'!D51</f>
        <v>12179115</v>
      </c>
      <c r="E115" s="107">
        <f>'3 Cascade Int'!E51</f>
        <v>12179115</v>
      </c>
      <c r="F115" s="100">
        <f>'3 Cascade Int'!F51</f>
        <v>0</v>
      </c>
      <c r="G115" s="87">
        <f>'3 Cascade Int'!G51</f>
        <v>0</v>
      </c>
      <c r="H115" s="87">
        <f>'3 Cascade Int'!H51</f>
        <v>0</v>
      </c>
      <c r="I115" s="41">
        <f>'3 Cascade Int'!I51</f>
        <v>0</v>
      </c>
      <c r="J115" s="28">
        <f>'3 Cascade Int'!J51</f>
        <v>0</v>
      </c>
      <c r="K115" s="28">
        <f>'3 Cascade Int'!K51</f>
        <v>0</v>
      </c>
      <c r="L115" s="28">
        <f>'3 Cascade Int'!L51</f>
        <v>0</v>
      </c>
      <c r="M115" s="28">
        <f>'3 Cascade Int'!M51</f>
        <v>5620204</v>
      </c>
      <c r="N115" s="28">
        <f>'3 Cascade Int'!N51</f>
        <v>3859207</v>
      </c>
      <c r="O115" s="28">
        <f>'3 Cascade Int'!O51</f>
        <v>2699704</v>
      </c>
      <c r="P115" s="28">
        <f>'3 Cascade Int'!P51</f>
        <v>0</v>
      </c>
      <c r="Q115" s="28">
        <f>'3 Cascade Int'!Q51</f>
        <v>0</v>
      </c>
      <c r="R115" s="29">
        <f t="shared" si="9"/>
        <v>12179115</v>
      </c>
    </row>
    <row r="116" spans="1:18" hidden="1" x14ac:dyDescent="0.25">
      <c r="C116" t="s">
        <v>39</v>
      </c>
      <c r="D116" s="16">
        <f>'3 Cascade Int'!D52</f>
        <v>1421912</v>
      </c>
      <c r="E116" s="107">
        <f>'3 Cascade Int'!E52</f>
        <v>1421912</v>
      </c>
      <c r="F116" s="100">
        <f>'3 Cascade Int'!F52</f>
        <v>0</v>
      </c>
      <c r="G116" s="87">
        <f>'3 Cascade Int'!G52</f>
        <v>0</v>
      </c>
      <c r="H116" s="87">
        <f>'3 Cascade Int'!H52</f>
        <v>0</v>
      </c>
      <c r="I116" s="41">
        <f>'3 Cascade Int'!I52</f>
        <v>0</v>
      </c>
      <c r="J116" s="28">
        <f>'3 Cascade Int'!J52</f>
        <v>0</v>
      </c>
      <c r="K116" s="28">
        <f>'3 Cascade Int'!K52</f>
        <v>0</v>
      </c>
      <c r="L116" s="28">
        <f>'3 Cascade Int'!L52</f>
        <v>0</v>
      </c>
      <c r="M116" s="28">
        <f>'3 Cascade Int'!M52</f>
        <v>843031</v>
      </c>
      <c r="N116" s="28">
        <f>'3 Cascade Int'!N52</f>
        <v>578881</v>
      </c>
      <c r="O116" s="28">
        <f>'3 Cascade Int'!O52</f>
        <v>0</v>
      </c>
      <c r="P116" s="28">
        <f>'3 Cascade Int'!P52</f>
        <v>0</v>
      </c>
      <c r="Q116" s="28">
        <f>'3 Cascade Int'!Q52</f>
        <v>0</v>
      </c>
      <c r="R116" s="29">
        <f t="shared" si="9"/>
        <v>1421912</v>
      </c>
    </row>
    <row r="117" spans="1:18" hidden="1" x14ac:dyDescent="0.25">
      <c r="D117" s="16"/>
      <c r="E117" s="107"/>
      <c r="F117" s="100"/>
      <c r="G117" s="87">
        <f>'3 Cascade Int'!G53</f>
        <v>0</v>
      </c>
      <c r="H117" s="87">
        <f>'3 Cascade Int'!H53</f>
        <v>0</v>
      </c>
      <c r="I117" s="41">
        <f>'3 Cascade Int'!I53</f>
        <v>0</v>
      </c>
      <c r="J117" s="28">
        <f>'3 Cascade Int'!J53</f>
        <v>0</v>
      </c>
      <c r="K117" s="28">
        <f>'3 Cascade Int'!K53</f>
        <v>0</v>
      </c>
      <c r="L117" s="28">
        <f>'3 Cascade Int'!L53</f>
        <v>0</v>
      </c>
      <c r="M117" s="28">
        <f>'3 Cascade Int'!M53</f>
        <v>0</v>
      </c>
      <c r="N117" s="28">
        <f>'3 Cascade Int'!N53</f>
        <v>0</v>
      </c>
      <c r="O117" s="28">
        <f>'3 Cascade Int'!O53</f>
        <v>0</v>
      </c>
      <c r="P117" s="28">
        <f>'3 Cascade Int'!P53</f>
        <v>0</v>
      </c>
      <c r="Q117" s="28">
        <f>'3 Cascade Int'!Q53</f>
        <v>0</v>
      </c>
      <c r="R117" s="29">
        <f t="shared" si="9"/>
        <v>0</v>
      </c>
    </row>
    <row r="118" spans="1:18" hidden="1" x14ac:dyDescent="0.25">
      <c r="D118" s="16"/>
      <c r="E118" s="107"/>
      <c r="F118" s="100"/>
      <c r="G118" s="87"/>
      <c r="H118" s="176"/>
      <c r="I118" s="104"/>
      <c r="R118" s="29">
        <f t="shared" si="9"/>
        <v>0</v>
      </c>
    </row>
    <row r="119" spans="1:18" x14ac:dyDescent="0.25">
      <c r="B119" t="s">
        <v>53</v>
      </c>
      <c r="C119" t="s">
        <v>57</v>
      </c>
      <c r="D119" s="16">
        <f>'3 Cascade Int'!D55</f>
        <v>0</v>
      </c>
      <c r="E119" s="107">
        <f>'3 Cascade Int'!E55</f>
        <v>613296</v>
      </c>
      <c r="F119" s="100">
        <f>'3 Cascade Int'!F55</f>
        <v>0</v>
      </c>
      <c r="G119" s="87">
        <f>'3 Cascade Int'!G55</f>
        <v>139257</v>
      </c>
      <c r="H119" s="87">
        <f>'3 Cascade Int'!H55</f>
        <v>474039</v>
      </c>
      <c r="I119" s="105">
        <f>'3 Cascade Int'!I55</f>
        <v>0</v>
      </c>
      <c r="J119" s="141">
        <f>'3 Cascade Int'!J55</f>
        <v>0</v>
      </c>
      <c r="K119" s="53">
        <f>'3 Cascade Int'!K55</f>
        <v>0</v>
      </c>
      <c r="L119" s="28">
        <f>'3 Cascade Int'!L55</f>
        <v>0</v>
      </c>
      <c r="M119" s="28">
        <f>'3 Cascade Int'!M55</f>
        <v>0</v>
      </c>
      <c r="N119" s="28">
        <f>'3 Cascade Int'!N55</f>
        <v>0</v>
      </c>
      <c r="O119" s="28">
        <f>'3 Cascade Int'!O55</f>
        <v>0</v>
      </c>
      <c r="P119" s="28">
        <f>'3 Cascade Int'!P55</f>
        <v>0</v>
      </c>
      <c r="Q119" s="28">
        <f>'3 Cascade Int'!Q55</f>
        <v>0</v>
      </c>
      <c r="R119" s="29">
        <f>SUM(F119:Q119)</f>
        <v>613296</v>
      </c>
    </row>
    <row r="120" spans="1:18" hidden="1" x14ac:dyDescent="0.25">
      <c r="C120" t="s">
        <v>20</v>
      </c>
      <c r="D120" s="16">
        <f>'3 Cascade Int'!D57</f>
        <v>0</v>
      </c>
      <c r="E120" s="107">
        <f>'3 Cascade Int'!E57</f>
        <v>502992</v>
      </c>
      <c r="F120" s="100">
        <f>'3 Cascade Int'!F57</f>
        <v>0</v>
      </c>
      <c r="G120" s="28">
        <f>'3 Cascade Int'!G57</f>
        <v>139257</v>
      </c>
      <c r="H120" s="28">
        <f>'3 Cascade Int'!H57</f>
        <v>363735</v>
      </c>
      <c r="I120" s="41">
        <f>'3 Cascade Int'!I57</f>
        <v>0</v>
      </c>
      <c r="J120" s="28">
        <f>'3 Cascade Int'!J57</f>
        <v>0</v>
      </c>
      <c r="K120" s="28">
        <f>'3 Cascade Int'!K57</f>
        <v>0</v>
      </c>
      <c r="L120" s="28">
        <f>'3 Cascade Int'!L57</f>
        <v>0</v>
      </c>
      <c r="M120" s="28">
        <f>'3 Cascade Int'!M57</f>
        <v>0</v>
      </c>
      <c r="N120" s="28">
        <f>'3 Cascade Int'!N57</f>
        <v>0</v>
      </c>
      <c r="O120" s="28">
        <f>'3 Cascade Int'!O57</f>
        <v>0</v>
      </c>
      <c r="P120" s="28">
        <f>'3 Cascade Int'!P57</f>
        <v>0</v>
      </c>
      <c r="Q120" s="28">
        <f>'3 Cascade Int'!Q57</f>
        <v>0</v>
      </c>
      <c r="R120" s="29">
        <f t="shared" si="9"/>
        <v>502992</v>
      </c>
    </row>
    <row r="121" spans="1:18" hidden="1" x14ac:dyDescent="0.25">
      <c r="C121" t="s">
        <v>21</v>
      </c>
      <c r="D121" s="16">
        <f>'3 Cascade Int'!D58</f>
        <v>0</v>
      </c>
      <c r="E121" s="107">
        <f>'3 Cascade Int'!E58</f>
        <v>0</v>
      </c>
      <c r="F121" s="100">
        <f>'3 Cascade Int'!F58</f>
        <v>0</v>
      </c>
      <c r="G121" s="28">
        <f>'3 Cascade Int'!G58</f>
        <v>0</v>
      </c>
      <c r="H121" s="28">
        <f>'3 Cascade Int'!H58</f>
        <v>0</v>
      </c>
      <c r="I121" s="41">
        <f>'3 Cascade Int'!I58</f>
        <v>0</v>
      </c>
      <c r="J121" s="28">
        <f>'3 Cascade Int'!J58</f>
        <v>0</v>
      </c>
      <c r="K121" s="28">
        <f>'3 Cascade Int'!K58</f>
        <v>0</v>
      </c>
      <c r="L121" s="28">
        <f>'3 Cascade Int'!L58</f>
        <v>0</v>
      </c>
      <c r="M121" s="28">
        <f>'3 Cascade Int'!M58</f>
        <v>0</v>
      </c>
      <c r="N121" s="28">
        <f>'3 Cascade Int'!N58</f>
        <v>0</v>
      </c>
      <c r="O121" s="28">
        <f>'3 Cascade Int'!O58</f>
        <v>0</v>
      </c>
      <c r="P121" s="28">
        <f>'3 Cascade Int'!P58</f>
        <v>0</v>
      </c>
      <c r="Q121" s="28">
        <f>'3 Cascade Int'!Q58</f>
        <v>0</v>
      </c>
      <c r="R121" s="29">
        <f t="shared" si="9"/>
        <v>0</v>
      </c>
    </row>
    <row r="122" spans="1:18" hidden="1" x14ac:dyDescent="0.25">
      <c r="C122" t="s">
        <v>22</v>
      </c>
      <c r="D122" s="16">
        <f>'3 Cascade Int'!D59</f>
        <v>0</v>
      </c>
      <c r="E122" s="107">
        <f>'3 Cascade Int'!E59</f>
        <v>110304</v>
      </c>
      <c r="F122" s="100">
        <f>'3 Cascade Int'!F59</f>
        <v>0</v>
      </c>
      <c r="G122" s="28">
        <f>'3 Cascade Int'!G59</f>
        <v>0</v>
      </c>
      <c r="H122" s="28">
        <f>'3 Cascade Int'!H59</f>
        <v>110304</v>
      </c>
      <c r="I122" s="41">
        <f>'3 Cascade Int'!I59</f>
        <v>0</v>
      </c>
      <c r="J122" s="28">
        <f>'3 Cascade Int'!J59</f>
        <v>0</v>
      </c>
      <c r="K122" s="28">
        <f>'3 Cascade Int'!K59</f>
        <v>0</v>
      </c>
      <c r="L122" s="28">
        <f>'3 Cascade Int'!L59</f>
        <v>0</v>
      </c>
      <c r="M122" s="28">
        <f>'3 Cascade Int'!M59</f>
        <v>0</v>
      </c>
      <c r="N122" s="28">
        <f>'3 Cascade Int'!N59</f>
        <v>0</v>
      </c>
      <c r="O122" s="28">
        <f>'3 Cascade Int'!O59</f>
        <v>0</v>
      </c>
      <c r="P122" s="28">
        <f>'3 Cascade Int'!P59</f>
        <v>0</v>
      </c>
      <c r="Q122" s="28">
        <f>'3 Cascade Int'!Q59</f>
        <v>0</v>
      </c>
      <c r="R122" s="29">
        <f t="shared" si="9"/>
        <v>110304</v>
      </c>
    </row>
    <row r="123" spans="1:18" hidden="1" x14ac:dyDescent="0.25">
      <c r="C123" t="s">
        <v>37</v>
      </c>
      <c r="D123" s="16">
        <f>'3 Cascade Int'!D60</f>
        <v>0</v>
      </c>
      <c r="E123" s="107">
        <f>'3 Cascade Int'!E60</f>
        <v>0</v>
      </c>
      <c r="F123" s="100">
        <f>'3 Cascade Int'!F60</f>
        <v>0</v>
      </c>
      <c r="G123" s="28">
        <f>'3 Cascade Int'!G60</f>
        <v>0</v>
      </c>
      <c r="H123" s="28">
        <f>'3 Cascade Int'!H60</f>
        <v>0</v>
      </c>
      <c r="I123" s="41">
        <f>'3 Cascade Int'!I60</f>
        <v>0</v>
      </c>
      <c r="J123" s="28">
        <f>'3 Cascade Int'!J60</f>
        <v>0</v>
      </c>
      <c r="K123" s="28">
        <f>'3 Cascade Int'!K60</f>
        <v>0</v>
      </c>
      <c r="L123" s="28">
        <f>'3 Cascade Int'!L60</f>
        <v>0</v>
      </c>
      <c r="M123" s="28">
        <f>'3 Cascade Int'!M60</f>
        <v>0</v>
      </c>
      <c r="N123" s="28">
        <f>'3 Cascade Int'!N60</f>
        <v>0</v>
      </c>
      <c r="O123" s="28">
        <f>'3 Cascade Int'!O60</f>
        <v>0</v>
      </c>
      <c r="P123" s="28">
        <f>'3 Cascade Int'!P60</f>
        <v>0</v>
      </c>
      <c r="Q123" s="28">
        <f>'3 Cascade Int'!Q60</f>
        <v>0</v>
      </c>
      <c r="R123" s="29">
        <f t="shared" si="9"/>
        <v>0</v>
      </c>
    </row>
    <row r="124" spans="1:18" hidden="1" x14ac:dyDescent="0.25">
      <c r="C124" t="s">
        <v>23</v>
      </c>
      <c r="D124" s="16">
        <f>'3 Cascade Int'!D61</f>
        <v>0</v>
      </c>
      <c r="E124" s="107">
        <f>'3 Cascade Int'!E61</f>
        <v>0</v>
      </c>
      <c r="F124" s="100">
        <f>'3 Cascade Int'!F61</f>
        <v>0</v>
      </c>
      <c r="G124" s="28">
        <f>'3 Cascade Int'!G61</f>
        <v>0</v>
      </c>
      <c r="H124" s="28">
        <f>'3 Cascade Int'!H61</f>
        <v>0</v>
      </c>
      <c r="I124" s="41">
        <f>'3 Cascade Int'!I61</f>
        <v>0</v>
      </c>
      <c r="J124" s="28">
        <f>'3 Cascade Int'!J61</f>
        <v>0</v>
      </c>
      <c r="K124" s="28">
        <f>'3 Cascade Int'!K61</f>
        <v>0</v>
      </c>
      <c r="L124" s="28">
        <f>'3 Cascade Int'!L61</f>
        <v>0</v>
      </c>
      <c r="M124" s="28">
        <f>'3 Cascade Int'!M61</f>
        <v>0</v>
      </c>
      <c r="N124" s="28">
        <f>'3 Cascade Int'!N61</f>
        <v>0</v>
      </c>
      <c r="O124" s="28">
        <f>'3 Cascade Int'!O61</f>
        <v>0</v>
      </c>
      <c r="P124" s="28">
        <f>'3 Cascade Int'!P61</f>
        <v>0</v>
      </c>
      <c r="Q124" s="28">
        <f>'3 Cascade Int'!Q61</f>
        <v>0</v>
      </c>
      <c r="R124" s="29">
        <f t="shared" si="9"/>
        <v>0</v>
      </c>
    </row>
    <row r="125" spans="1:18" hidden="1" x14ac:dyDescent="0.25">
      <c r="C125" t="s">
        <v>39</v>
      </c>
      <c r="D125" s="16">
        <f>'3 Cascade Int'!D62</f>
        <v>0</v>
      </c>
      <c r="E125" s="107">
        <f>'3 Cascade Int'!E62</f>
        <v>0</v>
      </c>
      <c r="F125" s="100">
        <f>'3 Cascade Int'!F62</f>
        <v>0</v>
      </c>
      <c r="G125" s="28">
        <f>'3 Cascade Int'!G62</f>
        <v>0</v>
      </c>
      <c r="H125" s="28">
        <f>'3 Cascade Int'!H62</f>
        <v>0</v>
      </c>
      <c r="I125" s="41">
        <f>'3 Cascade Int'!I62</f>
        <v>0</v>
      </c>
      <c r="J125" s="28">
        <f>'3 Cascade Int'!J62</f>
        <v>0</v>
      </c>
      <c r="K125" s="28">
        <f>'3 Cascade Int'!K62</f>
        <v>0</v>
      </c>
      <c r="L125" s="28">
        <f>'3 Cascade Int'!L62</f>
        <v>0</v>
      </c>
      <c r="M125" s="28">
        <f>'3 Cascade Int'!M62</f>
        <v>0</v>
      </c>
      <c r="N125" s="28">
        <f>'3 Cascade Int'!N62</f>
        <v>0</v>
      </c>
      <c r="O125" s="28">
        <f>'3 Cascade Int'!O62</f>
        <v>0</v>
      </c>
      <c r="P125" s="28">
        <f>'3 Cascade Int'!P62</f>
        <v>0</v>
      </c>
      <c r="Q125" s="28">
        <f>'3 Cascade Int'!Q62</f>
        <v>0</v>
      </c>
      <c r="R125" s="29">
        <f t="shared" si="9"/>
        <v>0</v>
      </c>
    </row>
    <row r="126" spans="1:18" hidden="1" x14ac:dyDescent="0.25">
      <c r="D126" s="16"/>
      <c r="E126" s="107"/>
      <c r="F126" s="100"/>
      <c r="G126" s="28">
        <f>'3 Cascade Int'!G63</f>
        <v>0</v>
      </c>
      <c r="H126" s="28">
        <f>'3 Cascade Int'!H63</f>
        <v>0</v>
      </c>
      <c r="I126" s="41">
        <f>'3 Cascade Int'!I63</f>
        <v>0</v>
      </c>
      <c r="J126" s="28">
        <f>'3 Cascade Int'!J63</f>
        <v>0</v>
      </c>
      <c r="K126" s="28">
        <f>'3 Cascade Int'!K63</f>
        <v>0</v>
      </c>
      <c r="L126" s="28">
        <f>'3 Cascade Int'!L63</f>
        <v>0</v>
      </c>
      <c r="M126" s="28">
        <f>'3 Cascade Int'!M63</f>
        <v>0</v>
      </c>
      <c r="N126" s="28">
        <f>'3 Cascade Int'!N63</f>
        <v>0</v>
      </c>
      <c r="O126" s="28">
        <f>'3 Cascade Int'!O63</f>
        <v>0</v>
      </c>
      <c r="P126" s="28">
        <f>'3 Cascade Int'!P63</f>
        <v>0</v>
      </c>
      <c r="Q126" s="28">
        <f>'3 Cascade Int'!Q63</f>
        <v>0</v>
      </c>
      <c r="R126" s="29">
        <f t="shared" si="9"/>
        <v>0</v>
      </c>
    </row>
    <row r="127" spans="1:18" x14ac:dyDescent="0.25">
      <c r="D127" s="16"/>
      <c r="E127" s="107"/>
      <c r="F127" s="100"/>
      <c r="G127" s="28"/>
      <c r="H127" s="43"/>
      <c r="I127" s="104"/>
      <c r="R127" s="29">
        <f t="shared" si="9"/>
        <v>0</v>
      </c>
    </row>
    <row r="128" spans="1:18" x14ac:dyDescent="0.25">
      <c r="A128" s="2" t="s">
        <v>295</v>
      </c>
      <c r="B128" s="2"/>
      <c r="C128" s="2"/>
      <c r="D128" s="40">
        <f>'4 Sunset Highway'!D43</f>
        <v>55857089</v>
      </c>
      <c r="E128" s="120">
        <f>'4 Sunset Highway'!E43</f>
        <v>66122010</v>
      </c>
      <c r="F128" s="124">
        <f>'4 Sunset Highway'!F43</f>
        <v>7619794</v>
      </c>
      <c r="G128" s="88">
        <f>'4 Sunset Highway'!G43</f>
        <v>3243</v>
      </c>
      <c r="H128" s="88">
        <f>'4 Sunset Highway'!H43</f>
        <v>308122</v>
      </c>
      <c r="I128" s="122">
        <f>'4 Sunset Highway'!I43</f>
        <v>2333762</v>
      </c>
      <c r="J128" s="88">
        <f>'4 Sunset Highway'!J43</f>
        <v>6083766</v>
      </c>
      <c r="K128" s="88">
        <f>'4 Sunset Highway'!K43</f>
        <v>9333764</v>
      </c>
      <c r="L128" s="88">
        <f>'4 Sunset Highway'!L43</f>
        <v>6333764</v>
      </c>
      <c r="M128" s="59">
        <f>'4 Sunset Highway'!M43</f>
        <v>7705795</v>
      </c>
      <c r="N128" s="59">
        <f>'4 Sunset Highway'!N43</f>
        <v>11400000</v>
      </c>
      <c r="O128" s="59">
        <f>'4 Sunset Highway'!O43</f>
        <v>10000000</v>
      </c>
      <c r="P128" s="59">
        <f>'4 Sunset Highway'!P43</f>
        <v>5000000</v>
      </c>
      <c r="Q128" s="60">
        <f>'4 Sunset Highway'!Q43</f>
        <v>0</v>
      </c>
      <c r="R128" s="58">
        <f>SUM(F128:Q128)</f>
        <v>66122010</v>
      </c>
    </row>
    <row r="129" spans="1:18" hidden="1" x14ac:dyDescent="0.25">
      <c r="C129" t="s">
        <v>20</v>
      </c>
      <c r="D129" s="16">
        <f>'4 Sunset Highway'!D45</f>
        <v>6357087</v>
      </c>
      <c r="E129" s="16"/>
      <c r="F129" s="100">
        <f>'4 Sunset Highway'!F45</f>
        <v>219794</v>
      </c>
      <c r="G129" s="28">
        <f>'4 Sunset Highway'!G45</f>
        <v>3243</v>
      </c>
      <c r="H129" s="28">
        <f>'4 Sunset Highway'!H45</f>
        <v>308122</v>
      </c>
      <c r="I129" s="41">
        <f>'4 Sunset Highway'!I45</f>
        <v>1833764</v>
      </c>
      <c r="J129" s="28">
        <f>'4 Sunset Highway'!J45</f>
        <v>1833764</v>
      </c>
      <c r="K129" s="28">
        <f>'4 Sunset Highway'!K45</f>
        <v>1833764</v>
      </c>
      <c r="L129" s="28">
        <f>'4 Sunset Highway'!L45</f>
        <v>1833764</v>
      </c>
      <c r="M129" s="28">
        <f>'4 Sunset Highway'!M45</f>
        <v>855795</v>
      </c>
      <c r="N129" s="28">
        <f>'4 Sunset Highway'!N45</f>
        <v>0</v>
      </c>
      <c r="O129" s="28">
        <f>'4 Sunset Highway'!O45</f>
        <v>0</v>
      </c>
      <c r="P129" s="28">
        <f>'4 Sunset Highway'!P45</f>
        <v>0</v>
      </c>
      <c r="Q129" s="28">
        <f>'4 Sunset Highway'!Q45</f>
        <v>0</v>
      </c>
      <c r="R129" s="29">
        <f t="shared" si="9"/>
        <v>8502216</v>
      </c>
    </row>
    <row r="130" spans="1:18" hidden="1" x14ac:dyDescent="0.25">
      <c r="C130" t="s">
        <v>21</v>
      </c>
      <c r="D130" s="16">
        <f>'4 Sunset Highway'!D46</f>
        <v>0</v>
      </c>
      <c r="E130" s="16"/>
      <c r="F130" s="100">
        <f>'4 Sunset Highway'!F46</f>
        <v>6000000</v>
      </c>
      <c r="G130" s="28">
        <f>'4 Sunset Highway'!G46</f>
        <v>0</v>
      </c>
      <c r="H130" s="28">
        <f>'4 Sunset Highway'!H46</f>
        <v>0</v>
      </c>
      <c r="I130" s="41">
        <f>'4 Sunset Highway'!I46</f>
        <v>0</v>
      </c>
      <c r="J130" s="28">
        <f>'4 Sunset Highway'!J46</f>
        <v>0</v>
      </c>
      <c r="K130" s="28">
        <f>'4 Sunset Highway'!K46</f>
        <v>0</v>
      </c>
      <c r="L130" s="28">
        <f>'4 Sunset Highway'!L46</f>
        <v>0</v>
      </c>
      <c r="M130" s="28">
        <f>'4 Sunset Highway'!M46</f>
        <v>0</v>
      </c>
      <c r="N130" s="28">
        <f>'4 Sunset Highway'!N46</f>
        <v>0</v>
      </c>
      <c r="O130" s="28">
        <f>'4 Sunset Highway'!O46</f>
        <v>0</v>
      </c>
      <c r="P130" s="28">
        <f>'4 Sunset Highway'!P46</f>
        <v>0</v>
      </c>
      <c r="Q130" s="28">
        <f>'4 Sunset Highway'!Q46</f>
        <v>0</v>
      </c>
      <c r="R130" s="29">
        <f t="shared" si="9"/>
        <v>0</v>
      </c>
    </row>
    <row r="131" spans="1:18" hidden="1" x14ac:dyDescent="0.25">
      <c r="C131" t="s">
        <v>22</v>
      </c>
      <c r="D131" s="16">
        <f>'4 Sunset Highway'!D47</f>
        <v>18500002</v>
      </c>
      <c r="E131" s="16"/>
      <c r="F131" s="100">
        <f>'4 Sunset Highway'!F47</f>
        <v>0</v>
      </c>
      <c r="G131" s="28">
        <f>'4 Sunset Highway'!G47</f>
        <v>0</v>
      </c>
      <c r="H131" s="28">
        <f>'4 Sunset Highway'!H47</f>
        <v>0</v>
      </c>
      <c r="I131" s="41">
        <f>'4 Sunset Highway'!I47</f>
        <v>499998</v>
      </c>
      <c r="J131" s="28">
        <f>'4 Sunset Highway'!J47</f>
        <v>4250002</v>
      </c>
      <c r="K131" s="28">
        <f>'4 Sunset Highway'!K47</f>
        <v>7500000</v>
      </c>
      <c r="L131" s="28">
        <f>'4 Sunset Highway'!L47</f>
        <v>4500000</v>
      </c>
      <c r="M131" s="28">
        <f>'4 Sunset Highway'!M47</f>
        <v>1500000</v>
      </c>
      <c r="N131" s="28">
        <f>'4 Sunset Highway'!N47</f>
        <v>750000</v>
      </c>
      <c r="O131" s="28">
        <f>'4 Sunset Highway'!O47</f>
        <v>0</v>
      </c>
      <c r="P131" s="28">
        <f>'4 Sunset Highway'!P47</f>
        <v>0</v>
      </c>
      <c r="Q131" s="28">
        <f>'4 Sunset Highway'!Q47</f>
        <v>0</v>
      </c>
      <c r="R131" s="29">
        <f t="shared" si="9"/>
        <v>19000000</v>
      </c>
    </row>
    <row r="132" spans="1:18" hidden="1" x14ac:dyDescent="0.25">
      <c r="C132" t="s">
        <v>37</v>
      </c>
      <c r="D132" s="16">
        <f>'4 Sunset Highway'!D48</f>
        <v>4650000</v>
      </c>
      <c r="E132" s="16"/>
      <c r="F132" s="100">
        <f>'4 Sunset Highway'!F48</f>
        <v>0</v>
      </c>
      <c r="G132" s="28">
        <f>'4 Sunset Highway'!G48</f>
        <v>0</v>
      </c>
      <c r="H132" s="28">
        <f>'4 Sunset Highway'!H48</f>
        <v>0</v>
      </c>
      <c r="I132" s="41">
        <f>'4 Sunset Highway'!I48</f>
        <v>0</v>
      </c>
      <c r="J132" s="28">
        <f>'4 Sunset Highway'!J48</f>
        <v>0</v>
      </c>
      <c r="K132" s="28">
        <f>'4 Sunset Highway'!K48</f>
        <v>0</v>
      </c>
      <c r="L132" s="28">
        <f>'4 Sunset Highway'!L48</f>
        <v>0</v>
      </c>
      <c r="M132" s="28">
        <f>'4 Sunset Highway'!M48</f>
        <v>802500</v>
      </c>
      <c r="N132" s="28">
        <f>'4 Sunset Highway'!N48</f>
        <v>1597500</v>
      </c>
      <c r="O132" s="28">
        <f>'4 Sunset Highway'!O48</f>
        <v>1500000</v>
      </c>
      <c r="P132" s="28">
        <f>'4 Sunset Highway'!P48</f>
        <v>750000</v>
      </c>
      <c r="Q132" s="28">
        <f>'4 Sunset Highway'!Q48</f>
        <v>0</v>
      </c>
      <c r="R132" s="29">
        <f t="shared" si="9"/>
        <v>4650000</v>
      </c>
    </row>
    <row r="133" spans="1:18" hidden="1" x14ac:dyDescent="0.25">
      <c r="C133" t="s">
        <v>23</v>
      </c>
      <c r="D133" s="16">
        <f>'4 Sunset Highway'!D49</f>
        <v>23250000</v>
      </c>
      <c r="E133" s="16"/>
      <c r="F133" s="100">
        <f>'4 Sunset Highway'!F49</f>
        <v>1400000</v>
      </c>
      <c r="G133" s="28">
        <f>'4 Sunset Highway'!G49</f>
        <v>0</v>
      </c>
      <c r="H133" s="28">
        <f>'4 Sunset Highway'!H49</f>
        <v>0</v>
      </c>
      <c r="I133" s="41">
        <f>'4 Sunset Highway'!I49</f>
        <v>0</v>
      </c>
      <c r="J133" s="28">
        <f>'4 Sunset Highway'!J49</f>
        <v>0</v>
      </c>
      <c r="K133" s="28">
        <f>'4 Sunset Highway'!K49</f>
        <v>0</v>
      </c>
      <c r="L133" s="28">
        <f>'4 Sunset Highway'!L49</f>
        <v>0</v>
      </c>
      <c r="M133" s="28">
        <f>'4 Sunset Highway'!M49</f>
        <v>4012500</v>
      </c>
      <c r="N133" s="28">
        <f>'4 Sunset Highway'!N49</f>
        <v>7987500</v>
      </c>
      <c r="O133" s="28">
        <f>'4 Sunset Highway'!O49</f>
        <v>7500000</v>
      </c>
      <c r="P133" s="28">
        <f>'4 Sunset Highway'!P49</f>
        <v>3750000</v>
      </c>
      <c r="Q133" s="28">
        <f>'4 Sunset Highway'!Q49</f>
        <v>0</v>
      </c>
      <c r="R133" s="29">
        <f t="shared" si="9"/>
        <v>23250000</v>
      </c>
    </row>
    <row r="134" spans="1:18" hidden="1" x14ac:dyDescent="0.25">
      <c r="C134" t="s">
        <v>39</v>
      </c>
      <c r="D134" s="16">
        <f>'4 Sunset Highway'!D50</f>
        <v>3100000</v>
      </c>
      <c r="E134" s="16"/>
      <c r="F134" s="100">
        <f>'4 Sunset Highway'!F50</f>
        <v>0</v>
      </c>
      <c r="G134" s="28">
        <f>'4 Sunset Highway'!G50</f>
        <v>0</v>
      </c>
      <c r="H134" s="28">
        <f>'4 Sunset Highway'!H50</f>
        <v>0</v>
      </c>
      <c r="I134" s="41">
        <f>'4 Sunset Highway'!I50</f>
        <v>0</v>
      </c>
      <c r="J134" s="28">
        <f>'4 Sunset Highway'!J50</f>
        <v>0</v>
      </c>
      <c r="K134" s="28">
        <f>'4 Sunset Highway'!K50</f>
        <v>0</v>
      </c>
      <c r="L134" s="28">
        <f>'4 Sunset Highway'!L50</f>
        <v>0</v>
      </c>
      <c r="M134" s="28">
        <f>'4 Sunset Highway'!M50</f>
        <v>535000</v>
      </c>
      <c r="N134" s="28">
        <f>'4 Sunset Highway'!N50</f>
        <v>1065000</v>
      </c>
      <c r="O134" s="28">
        <f>'4 Sunset Highway'!O50</f>
        <v>1000000</v>
      </c>
      <c r="P134" s="28">
        <f>'4 Sunset Highway'!P50</f>
        <v>500000</v>
      </c>
      <c r="Q134" s="28">
        <f>'4 Sunset Highway'!Q50</f>
        <v>0</v>
      </c>
      <c r="R134" s="29">
        <f t="shared" si="9"/>
        <v>3100000</v>
      </c>
    </row>
    <row r="135" spans="1:18" x14ac:dyDescent="0.25">
      <c r="D135" s="17"/>
      <c r="E135" s="17"/>
      <c r="F135" s="78"/>
      <c r="G135" s="43"/>
      <c r="H135" s="43"/>
      <c r="I135" s="104"/>
      <c r="R135" s="29">
        <f t="shared" si="9"/>
        <v>0</v>
      </c>
    </row>
    <row r="136" spans="1:18" ht="15.75" thickBot="1" x14ac:dyDescent="0.3">
      <c r="A136" s="89" t="s">
        <v>31</v>
      </c>
      <c r="B136" s="89"/>
      <c r="C136" s="89"/>
      <c r="D136" s="84">
        <f>D128+D108+D80+D50</f>
        <v>262836098</v>
      </c>
      <c r="E136" s="84">
        <f>E128+E108+E80+E50</f>
        <v>286265072.85000002</v>
      </c>
      <c r="F136" s="135">
        <f>F128+F108+F80+F50</f>
        <v>8924081.1400000006</v>
      </c>
      <c r="G136" s="19">
        <f t="shared" ref="G136:Q136" si="10">G128+G108+G80+G50</f>
        <v>1820564</v>
      </c>
      <c r="H136" s="19">
        <f t="shared" si="10"/>
        <v>2599662.0699999998</v>
      </c>
      <c r="I136" s="106">
        <f t="shared" si="10"/>
        <v>5319940.6400000006</v>
      </c>
      <c r="J136" s="19">
        <f t="shared" si="10"/>
        <v>10848493</v>
      </c>
      <c r="K136" s="19">
        <f t="shared" si="10"/>
        <v>17249482</v>
      </c>
      <c r="L136" s="19">
        <f t="shared" si="10"/>
        <v>39813330</v>
      </c>
      <c r="M136" s="19">
        <f t="shared" si="10"/>
        <v>57676934</v>
      </c>
      <c r="N136" s="19">
        <f t="shared" si="10"/>
        <v>86027321</v>
      </c>
      <c r="O136" s="19">
        <f t="shared" si="10"/>
        <v>46039591</v>
      </c>
      <c r="P136" s="19">
        <f t="shared" si="10"/>
        <v>9945674</v>
      </c>
      <c r="Q136" s="19">
        <f t="shared" si="10"/>
        <v>0</v>
      </c>
      <c r="R136" s="30">
        <f>SUM(F136:Q136)</f>
        <v>286265072.85000002</v>
      </c>
    </row>
    <row r="137" spans="1:18" ht="15.75" thickTop="1" x14ac:dyDescent="0.25">
      <c r="A137" t="s">
        <v>32</v>
      </c>
      <c r="D137" s="17">
        <f t="shared" ref="D137:Q137" si="11">D45-D136</f>
        <v>0</v>
      </c>
      <c r="E137" s="17"/>
      <c r="F137" s="78">
        <f t="shared" si="11"/>
        <v>-834082</v>
      </c>
      <c r="G137" s="79">
        <f t="shared" si="11"/>
        <v>-859000.00000000012</v>
      </c>
      <c r="H137" s="79">
        <f t="shared" si="11"/>
        <v>-93899</v>
      </c>
      <c r="I137" s="80">
        <f t="shared" si="11"/>
        <v>-356101</v>
      </c>
      <c r="J137" s="17">
        <f t="shared" si="11"/>
        <v>-650000</v>
      </c>
      <c r="K137" s="17">
        <f t="shared" si="11"/>
        <v>-500000</v>
      </c>
      <c r="L137" s="17">
        <f t="shared" si="11"/>
        <v>-1000000</v>
      </c>
      <c r="M137" s="17">
        <f t="shared" si="11"/>
        <v>0</v>
      </c>
      <c r="N137" s="17">
        <f t="shared" si="11"/>
        <v>0</v>
      </c>
      <c r="O137" s="17">
        <f t="shared" si="11"/>
        <v>0</v>
      </c>
      <c r="P137" s="17">
        <f t="shared" si="11"/>
        <v>0</v>
      </c>
      <c r="Q137" s="17">
        <f t="shared" si="11"/>
        <v>0</v>
      </c>
      <c r="R137" s="29">
        <f t="shared" si="9"/>
        <v>-3459000</v>
      </c>
    </row>
    <row r="138" spans="1:18" x14ac:dyDescent="0.25">
      <c r="D138" s="17"/>
      <c r="E138" s="17"/>
      <c r="F138" s="32"/>
    </row>
    <row r="139" spans="1:18" ht="15.75" thickBot="1" x14ac:dyDescent="0.3">
      <c r="D139" s="17"/>
      <c r="E139" s="17"/>
      <c r="F139" s="32"/>
    </row>
    <row r="140" spans="1:18" ht="15.75" thickBot="1" x14ac:dyDescent="0.3">
      <c r="C140" s="280" t="s">
        <v>251</v>
      </c>
      <c r="D140" s="281" t="s">
        <v>252</v>
      </c>
      <c r="E140" s="281" t="s">
        <v>253</v>
      </c>
      <c r="F140" s="281" t="s">
        <v>254</v>
      </c>
      <c r="G140" s="281" t="s">
        <v>255</v>
      </c>
      <c r="H140" s="281" t="s">
        <v>256</v>
      </c>
      <c r="I140" s="281" t="s">
        <v>257</v>
      </c>
      <c r="J140" s="281" t="s">
        <v>258</v>
      </c>
      <c r="K140" s="281" t="s">
        <v>259</v>
      </c>
    </row>
    <row r="141" spans="1:18" ht="15.75" thickBot="1" x14ac:dyDescent="0.3">
      <c r="C141" s="259" t="s">
        <v>260</v>
      </c>
      <c r="D141" s="282" t="s">
        <v>261</v>
      </c>
      <c r="E141" s="282" t="s">
        <v>261</v>
      </c>
      <c r="F141" s="282" t="s">
        <v>261</v>
      </c>
      <c r="G141" s="282" t="s">
        <v>261</v>
      </c>
      <c r="H141" s="282" t="s">
        <v>261</v>
      </c>
      <c r="I141" s="282" t="s">
        <v>261</v>
      </c>
      <c r="J141" s="282" t="s">
        <v>261</v>
      </c>
      <c r="K141" s="282" t="s">
        <v>261</v>
      </c>
    </row>
    <row r="142" spans="1:18" ht="15.75" thickBot="1" x14ac:dyDescent="0.3">
      <c r="C142" s="259" t="s">
        <v>262</v>
      </c>
      <c r="D142" s="283" t="s">
        <v>263</v>
      </c>
      <c r="E142" s="284" t="s">
        <v>263</v>
      </c>
      <c r="F142" s="282" t="s">
        <v>261</v>
      </c>
      <c r="G142" s="284" t="s">
        <v>264</v>
      </c>
      <c r="H142" s="284" t="s">
        <v>264</v>
      </c>
      <c r="I142" s="310" t="s">
        <v>309</v>
      </c>
      <c r="J142" s="284" t="s">
        <v>265</v>
      </c>
      <c r="K142" s="284" t="s">
        <v>265</v>
      </c>
    </row>
    <row r="143" spans="1:18" ht="15.75" thickBot="1" x14ac:dyDescent="0.3">
      <c r="C143" s="259" t="s">
        <v>266</v>
      </c>
      <c r="D143" s="284" t="s">
        <v>267</v>
      </c>
      <c r="E143" s="284" t="s">
        <v>268</v>
      </c>
      <c r="F143" s="284" t="s">
        <v>269</v>
      </c>
      <c r="G143" s="284" t="s">
        <v>268</v>
      </c>
      <c r="H143" s="284" t="s">
        <v>268</v>
      </c>
      <c r="I143" s="284" t="s">
        <v>267</v>
      </c>
      <c r="J143" s="284" t="s">
        <v>267</v>
      </c>
      <c r="K143" s="284" t="s">
        <v>267</v>
      </c>
    </row>
    <row r="144" spans="1:18" ht="15.75" thickBot="1" x14ac:dyDescent="0.3">
      <c r="C144" s="259" t="s">
        <v>270</v>
      </c>
      <c r="D144" s="284" t="s">
        <v>271</v>
      </c>
      <c r="E144" s="282" t="s">
        <v>272</v>
      </c>
      <c r="F144" s="284" t="s">
        <v>273</v>
      </c>
      <c r="G144" s="284" t="s">
        <v>274</v>
      </c>
      <c r="H144" s="310" t="s">
        <v>274</v>
      </c>
      <c r="I144" s="285" t="s">
        <v>275</v>
      </c>
      <c r="J144" s="282" t="s">
        <v>272</v>
      </c>
      <c r="K144" s="284" t="s">
        <v>276</v>
      </c>
    </row>
    <row r="145" spans="3:12" ht="15.75" thickBot="1" x14ac:dyDescent="0.3">
      <c r="C145" s="259" t="s">
        <v>277</v>
      </c>
      <c r="D145" s="286" t="s">
        <v>278</v>
      </c>
      <c r="E145" s="310" t="s">
        <v>279</v>
      </c>
      <c r="F145" s="310" t="s">
        <v>280</v>
      </c>
      <c r="G145" s="310" t="s">
        <v>281</v>
      </c>
      <c r="H145" s="310" t="s">
        <v>281</v>
      </c>
      <c r="I145" s="284" t="s">
        <v>305</v>
      </c>
      <c r="J145" s="286" t="s">
        <v>282</v>
      </c>
      <c r="K145" s="286" t="s">
        <v>283</v>
      </c>
    </row>
    <row r="146" spans="3:12" ht="15.75" thickBot="1" x14ac:dyDescent="0.3">
      <c r="C146" s="259" t="s">
        <v>284</v>
      </c>
      <c r="D146" s="286" t="s">
        <v>285</v>
      </c>
      <c r="E146" s="310" t="s">
        <v>286</v>
      </c>
      <c r="F146" s="310" t="s">
        <v>287</v>
      </c>
      <c r="G146" s="286" t="s">
        <v>288</v>
      </c>
      <c r="H146" s="284" t="s">
        <v>288</v>
      </c>
      <c r="I146" s="286" t="s">
        <v>289</v>
      </c>
      <c r="J146" s="286" t="s">
        <v>288</v>
      </c>
      <c r="K146" s="286" t="s">
        <v>285</v>
      </c>
    </row>
    <row r="147" spans="3:12" x14ac:dyDescent="0.25">
      <c r="D147" s="35"/>
      <c r="E147" s="35"/>
      <c r="F147" s="311"/>
      <c r="H147" s="311"/>
      <c r="I147" s="288"/>
    </row>
    <row r="148" spans="3:12" x14ac:dyDescent="0.25">
      <c r="C148" s="312" t="s">
        <v>306</v>
      </c>
      <c r="D148" s="36" t="s">
        <v>307</v>
      </c>
      <c r="E148" s="36"/>
      <c r="F148" s="287"/>
      <c r="H148" s="287"/>
      <c r="I148" s="288"/>
    </row>
    <row r="149" spans="3:12" x14ac:dyDescent="0.25">
      <c r="C149" s="312" t="s">
        <v>308</v>
      </c>
      <c r="D149" s="37"/>
      <c r="E149" s="37"/>
      <c r="I149" s="288"/>
    </row>
    <row r="150" spans="3:12" x14ac:dyDescent="0.25">
      <c r="D150" s="14"/>
      <c r="E150" s="14"/>
    </row>
    <row r="151" spans="3:12" ht="38.25" x14ac:dyDescent="0.25">
      <c r="C151" s="312" t="s">
        <v>310</v>
      </c>
      <c r="D151" s="14"/>
      <c r="E151" s="14"/>
    </row>
    <row r="152" spans="3:12" x14ac:dyDescent="0.25">
      <c r="D152" s="14"/>
      <c r="E152" s="14"/>
    </row>
    <row r="153" spans="3:12" x14ac:dyDescent="0.25">
      <c r="D153" s="14"/>
      <c r="E153" s="14"/>
    </row>
    <row r="154" spans="3:12" x14ac:dyDescent="0.25">
      <c r="D154" s="14"/>
      <c r="E154" s="14"/>
    </row>
    <row r="155" spans="3:12" x14ac:dyDescent="0.25">
      <c r="D155" s="14"/>
      <c r="E155" s="14"/>
    </row>
    <row r="156" spans="3:12" x14ac:dyDescent="0.25">
      <c r="D156" s="14"/>
      <c r="E156" s="14"/>
    </row>
    <row r="157" spans="3:12" x14ac:dyDescent="0.25">
      <c r="D157" s="14"/>
      <c r="E157" s="14"/>
      <c r="L157" s="38"/>
    </row>
    <row r="158" spans="3:12" x14ac:dyDescent="0.25">
      <c r="D158" s="14"/>
      <c r="E158" s="14"/>
    </row>
    <row r="159" spans="3:12" x14ac:dyDescent="0.25">
      <c r="D159" s="14"/>
      <c r="E159" s="14"/>
    </row>
  </sheetData>
  <pageMargins left="0.7" right="0.7" top="0.75" bottom="0.75" header="0.3" footer="0.3"/>
  <pageSetup scale="44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63"/>
  <sheetViews>
    <sheetView zoomScale="80" zoomScaleNormal="80" workbookViewId="0"/>
  </sheetViews>
  <sheetFormatPr defaultRowHeight="15" x14ac:dyDescent="0.25"/>
  <cols>
    <col min="1" max="1" width="2.7109375" customWidth="1"/>
    <col min="2" max="2" width="5" customWidth="1"/>
    <col min="3" max="3" width="50.7109375" customWidth="1"/>
    <col min="4" max="4" width="15.28515625" customWidth="1"/>
    <col min="5" max="5" width="15.28515625" hidden="1" customWidth="1"/>
    <col min="6" max="6" width="14.85546875" customWidth="1"/>
    <col min="7" max="7" width="13.7109375" customWidth="1"/>
    <col min="8" max="8" width="17.85546875" customWidth="1"/>
    <col min="9" max="9" width="47.28515625" customWidth="1"/>
    <col min="10" max="10" width="18.5703125" customWidth="1"/>
    <col min="11" max="11" width="29.7109375" customWidth="1"/>
    <col min="12" max="12" width="13.28515625" customWidth="1"/>
    <col min="13" max="13" width="21.28515625" customWidth="1"/>
    <col min="14" max="14" width="58.85546875" customWidth="1"/>
    <col min="15" max="15" width="13.85546875" customWidth="1"/>
    <col min="16" max="16" width="13.7109375" customWidth="1"/>
    <col min="17" max="17" width="12.7109375" customWidth="1"/>
    <col min="18" max="18" width="12.28515625" customWidth="1"/>
    <col min="19" max="19" width="10.5703125" customWidth="1"/>
    <col min="20" max="20" width="15.7109375" customWidth="1"/>
  </cols>
  <sheetData>
    <row r="1" spans="1:26" ht="18.75" x14ac:dyDescent="0.3">
      <c r="A1" s="3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3" spans="1:26" x14ac:dyDescent="0.25">
      <c r="B3" t="s">
        <v>50</v>
      </c>
    </row>
    <row r="4" spans="1:26" x14ac:dyDescent="0.25">
      <c r="C4" t="s">
        <v>102</v>
      </c>
      <c r="D4" s="173">
        <v>44866</v>
      </c>
      <c r="E4" s="1"/>
    </row>
    <row r="5" spans="1:26" x14ac:dyDescent="0.25">
      <c r="C5" t="s">
        <v>103</v>
      </c>
      <c r="D5" s="173">
        <f>D4+18*30</f>
        <v>45406</v>
      </c>
      <c r="E5" s="1"/>
    </row>
    <row r="6" spans="1:26" ht="18.75" x14ac:dyDescent="0.3">
      <c r="C6" t="s">
        <v>104</v>
      </c>
      <c r="D6" s="173">
        <v>44197</v>
      </c>
      <c r="E6" s="1" t="s">
        <v>105</v>
      </c>
      <c r="I6" s="75"/>
    </row>
    <row r="7" spans="1:26" x14ac:dyDescent="0.25">
      <c r="D7" s="1"/>
      <c r="E7" s="1"/>
    </row>
    <row r="8" spans="1:26" hidden="1" x14ac:dyDescent="0.25">
      <c r="C8" s="77" t="s">
        <v>51</v>
      </c>
      <c r="D8" s="38"/>
      <c r="E8" s="43"/>
      <c r="F8" s="70"/>
      <c r="G8" s="70"/>
    </row>
    <row r="9" spans="1:26" hidden="1" x14ac:dyDescent="0.25">
      <c r="C9" t="s">
        <v>60</v>
      </c>
      <c r="D9" s="107"/>
      <c r="E9" s="43"/>
      <c r="F9" s="70"/>
      <c r="G9" s="70"/>
    </row>
    <row r="10" spans="1:26" hidden="1" x14ac:dyDescent="0.25">
      <c r="C10" t="s">
        <v>78</v>
      </c>
      <c r="D10" s="7"/>
      <c r="F10" s="70"/>
      <c r="G10" s="70"/>
    </row>
    <row r="11" spans="1:26" hidden="1" x14ac:dyDescent="0.25">
      <c r="C11" t="s">
        <v>0</v>
      </c>
      <c r="D11" s="21"/>
      <c r="F11" s="70"/>
      <c r="G11" s="70"/>
    </row>
    <row r="12" spans="1:26" hidden="1" x14ac:dyDescent="0.25">
      <c r="C12" t="s">
        <v>59</v>
      </c>
      <c r="D12" s="86"/>
      <c r="F12" s="70"/>
      <c r="G12" s="70"/>
    </row>
    <row r="13" spans="1:26" hidden="1" x14ac:dyDescent="0.25">
      <c r="C13" t="s">
        <v>23</v>
      </c>
      <c r="D13" s="61"/>
      <c r="F13" s="70"/>
      <c r="G13" s="70"/>
    </row>
    <row r="14" spans="1:26" hidden="1" x14ac:dyDescent="0.25">
      <c r="F14" s="70"/>
      <c r="G14" s="70"/>
    </row>
    <row r="15" spans="1:26" x14ac:dyDescent="0.25">
      <c r="F15" s="70"/>
      <c r="G15" s="70"/>
      <c r="I15" s="147"/>
      <c r="J15" s="60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 ht="18.75" x14ac:dyDescent="0.3">
      <c r="A16" s="75" t="s">
        <v>1</v>
      </c>
      <c r="B16" s="10"/>
      <c r="C16" s="10"/>
      <c r="D16" s="10"/>
      <c r="E16" s="10"/>
      <c r="F16" s="10"/>
      <c r="G16" s="10"/>
      <c r="H16" s="10"/>
      <c r="I16" s="148"/>
      <c r="J16" s="60"/>
      <c r="K16" s="94"/>
      <c r="L16" s="94"/>
      <c r="M16" s="94"/>
      <c r="N16" s="94"/>
      <c r="O16" s="94"/>
      <c r="P16" s="94"/>
      <c r="Q16" s="94"/>
      <c r="R16" s="94"/>
      <c r="S16" s="94"/>
      <c r="T16" s="43"/>
      <c r="U16" s="43"/>
      <c r="V16" s="43"/>
      <c r="W16" s="43"/>
      <c r="X16" s="43"/>
      <c r="Y16" s="43"/>
      <c r="Z16" s="43"/>
    </row>
    <row r="17" spans="1:26" ht="32.65" customHeight="1" x14ac:dyDescent="0.25">
      <c r="A17" s="4"/>
      <c r="B17" s="4"/>
      <c r="C17" s="4" t="s">
        <v>3</v>
      </c>
      <c r="D17" s="20" t="s">
        <v>80</v>
      </c>
      <c r="E17" s="20" t="s">
        <v>79</v>
      </c>
      <c r="F17" s="22"/>
      <c r="G17" s="4"/>
      <c r="H17" s="4"/>
      <c r="I17" s="149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43"/>
      <c r="V17" s="43"/>
      <c r="W17" s="43"/>
      <c r="X17" s="43"/>
      <c r="Y17" s="43"/>
      <c r="Z17" s="43"/>
    </row>
    <row r="18" spans="1:26" x14ac:dyDescent="0.25">
      <c r="A18" s="3" t="s">
        <v>5</v>
      </c>
      <c r="B18" s="3"/>
      <c r="C18" s="3"/>
      <c r="D18" s="5"/>
      <c r="E18" s="107"/>
      <c r="I18" s="2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151"/>
      <c r="U18" s="43"/>
      <c r="V18" s="43"/>
      <c r="W18" s="43"/>
      <c r="X18" s="43"/>
      <c r="Y18" s="43"/>
      <c r="Z18" s="43"/>
    </row>
    <row r="19" spans="1:26" x14ac:dyDescent="0.25">
      <c r="A19" s="3"/>
      <c r="B19" s="3"/>
      <c r="C19" s="3" t="s">
        <v>6</v>
      </c>
      <c r="D19" s="7">
        <f>'1 North Wenatchee Ave'!D12+'2 Confluence Parkway'!D12+'3 Cascade Int'!D12+'4 Sunset Highway'!D12</f>
        <v>11000000</v>
      </c>
      <c r="E19" s="107">
        <f>'1 North Wenatchee Ave'!E12+'2 Confluence Parkway'!E12+'3 Cascade Int'!E12+'4 Sunset Highway'!E12</f>
        <v>15134981.064750001</v>
      </c>
      <c r="I19" s="47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151"/>
      <c r="U19" s="43"/>
      <c r="V19" s="43"/>
      <c r="W19" s="43"/>
      <c r="X19" s="43"/>
      <c r="Y19" s="43"/>
      <c r="Z19" s="43"/>
    </row>
    <row r="20" spans="1:26" x14ac:dyDescent="0.25">
      <c r="A20" s="3"/>
      <c r="B20" s="3"/>
      <c r="C20" s="3" t="s">
        <v>7</v>
      </c>
      <c r="D20" s="7">
        <f>'1 North Wenatchee Ave'!D13+'2 Confluence Parkway'!D13+'3 Cascade Int'!D13+'4 Sunset Highway'!D13</f>
        <v>0</v>
      </c>
      <c r="E20" s="107"/>
      <c r="I20" s="47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151"/>
      <c r="U20" s="43"/>
      <c r="V20" s="43"/>
      <c r="W20" s="43"/>
      <c r="X20" s="43"/>
      <c r="Y20" s="43"/>
      <c r="Z20" s="43"/>
    </row>
    <row r="21" spans="1:26" x14ac:dyDescent="0.25">
      <c r="A21" s="3"/>
      <c r="B21" s="3"/>
      <c r="C21" s="3" t="s">
        <v>16</v>
      </c>
      <c r="D21" s="7">
        <f>'1 North Wenatchee Ave'!D14+'2 Confluence Parkway'!D14+'3 Cascade Int'!D14+'4 Sunset Highway'!D14</f>
        <v>0</v>
      </c>
      <c r="E21" s="107"/>
      <c r="I21" s="47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151"/>
      <c r="U21" s="43"/>
      <c r="V21" s="43"/>
      <c r="W21" s="43"/>
      <c r="X21" s="43"/>
      <c r="Y21" s="43"/>
      <c r="Z21" s="43"/>
    </row>
    <row r="22" spans="1:26" x14ac:dyDescent="0.25">
      <c r="A22" s="3"/>
      <c r="B22" s="3"/>
      <c r="C22" s="3" t="s">
        <v>8</v>
      </c>
      <c r="D22" s="7">
        <f>'1 North Wenatchee Ave'!D15+'2 Confluence Parkway'!D15+'3 Cascade Int'!D15+'4 Sunset Highway'!D15</f>
        <v>0</v>
      </c>
      <c r="E22" s="107"/>
      <c r="I22" s="47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151"/>
      <c r="U22" s="43"/>
      <c r="V22" s="43"/>
      <c r="W22" s="43"/>
      <c r="X22" s="43"/>
      <c r="Y22" s="43"/>
      <c r="Z22" s="43"/>
    </row>
    <row r="23" spans="1:26" x14ac:dyDescent="0.25">
      <c r="A23" s="3"/>
      <c r="B23" s="3"/>
      <c r="C23" s="3" t="s">
        <v>12</v>
      </c>
      <c r="D23" s="7">
        <f>'1 North Wenatchee Ave'!D16+'2 Confluence Parkway'!D16+'3 Cascade Int'!D16+'4 Sunset Highway'!D16</f>
        <v>1000000</v>
      </c>
      <c r="E23" s="109">
        <f>'1 North Wenatchee Ave'!E16+'2 Confluence Parkway'!E16+'3 Cascade Int'!E16+'4 Sunset Highway'!E16</f>
        <v>1000000</v>
      </c>
      <c r="I23" s="47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151"/>
      <c r="U23" s="43"/>
      <c r="V23" s="43"/>
      <c r="W23" s="43"/>
      <c r="X23" s="43"/>
      <c r="Y23" s="43"/>
      <c r="Z23" s="43"/>
    </row>
    <row r="24" spans="1:26" x14ac:dyDescent="0.25">
      <c r="A24" s="3"/>
      <c r="B24" s="3"/>
      <c r="C24" s="3" t="s">
        <v>41</v>
      </c>
      <c r="D24" s="7">
        <f>'1 North Wenatchee Ave'!D17+'2 Confluence Parkway'!D17+'3 Cascade Int'!D17+'4 Sunset Highway'!D17</f>
        <v>1500000</v>
      </c>
      <c r="E24" s="107"/>
      <c r="I24" s="47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151"/>
      <c r="U24" s="43"/>
      <c r="V24" s="43"/>
      <c r="W24" s="43"/>
      <c r="X24" s="43"/>
      <c r="Y24" s="43"/>
      <c r="Z24" s="43"/>
    </row>
    <row r="25" spans="1:26" x14ac:dyDescent="0.25">
      <c r="A25" s="3"/>
      <c r="B25" s="3"/>
      <c r="C25" s="3"/>
      <c r="D25" s="9"/>
      <c r="E25" s="107"/>
      <c r="I25" s="47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151"/>
      <c r="U25" s="43"/>
      <c r="V25" s="43"/>
      <c r="W25" s="43"/>
      <c r="X25" s="43"/>
      <c r="Y25" s="43"/>
      <c r="Z25" s="43"/>
    </row>
    <row r="26" spans="1:26" x14ac:dyDescent="0.25">
      <c r="A26" s="3"/>
      <c r="B26" s="3" t="s">
        <v>19</v>
      </c>
      <c r="C26" s="3"/>
      <c r="D26" s="90">
        <f>SUM(D19:D25)</f>
        <v>13500000</v>
      </c>
      <c r="E26" s="107">
        <f>SUM(E19:E25)</f>
        <v>16134981.064750001</v>
      </c>
      <c r="I26" s="47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151"/>
      <c r="U26" s="43"/>
      <c r="V26" s="43"/>
      <c r="W26" s="43"/>
      <c r="X26" s="43"/>
      <c r="Y26" s="43"/>
      <c r="Z26" s="43"/>
    </row>
    <row r="27" spans="1:26" x14ac:dyDescent="0.25">
      <c r="A27" s="3" t="s">
        <v>4</v>
      </c>
      <c r="B27" s="3"/>
      <c r="C27" s="3"/>
      <c r="D27" s="7"/>
      <c r="E27" s="107"/>
      <c r="I27" s="47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151"/>
      <c r="U27" s="43"/>
      <c r="V27" s="43"/>
      <c r="W27" s="43"/>
      <c r="X27" s="43"/>
      <c r="Y27" s="43"/>
      <c r="Z27" s="43"/>
    </row>
    <row r="28" spans="1:26" x14ac:dyDescent="0.25">
      <c r="A28" s="3"/>
      <c r="B28" s="3"/>
      <c r="C28" s="3" t="s">
        <v>10</v>
      </c>
      <c r="D28" s="7">
        <f>'1 North Wenatchee Ave'!D21+'2 Confluence Parkway'!D21+'3 Cascade Int'!D21+'4 Sunset Highway'!D21</f>
        <v>0</v>
      </c>
      <c r="E28" s="107">
        <f>'1 North Wenatchee Ave'!E21+'2 Confluence Parkway'!E21+'3 Cascade Int'!E21+'4 Sunset Highway'!E21</f>
        <v>0</v>
      </c>
      <c r="I28" s="47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151"/>
      <c r="U28" s="43"/>
      <c r="V28" s="43"/>
      <c r="W28" s="43"/>
      <c r="X28" s="43"/>
      <c r="Y28" s="43"/>
      <c r="Z28" s="43"/>
    </row>
    <row r="29" spans="1:26" hidden="1" x14ac:dyDescent="0.25">
      <c r="A29" s="3"/>
      <c r="B29" s="3"/>
      <c r="C29" s="3" t="s">
        <v>9</v>
      </c>
      <c r="D29" s="7">
        <f>'1 North Wenatchee Ave'!D22+'2 Confluence Parkway'!D22+'3 Cascade Int'!D22+'4 Sunset Highway'!D22</f>
        <v>0</v>
      </c>
      <c r="E29" s="107">
        <f>'1 North Wenatchee Ave'!E22+'2 Confluence Parkway'!E22+'3 Cascade Int'!E22+'4 Sunset Highway'!E22</f>
        <v>0</v>
      </c>
      <c r="I29" s="47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151"/>
      <c r="U29" s="43"/>
      <c r="V29" s="43"/>
      <c r="W29" s="43"/>
      <c r="X29" s="43"/>
      <c r="Y29" s="43"/>
      <c r="Z29" s="43"/>
    </row>
    <row r="30" spans="1:26" x14ac:dyDescent="0.25">
      <c r="A30" s="3"/>
      <c r="B30" s="3"/>
      <c r="C30" s="3" t="s">
        <v>74</v>
      </c>
      <c r="D30" s="7">
        <f>'1 North Wenatchee Ave'!D23+'2 Confluence Parkway'!D23+'3 Cascade Int'!D23+'4 Sunset Highway'!D23</f>
        <v>31924200</v>
      </c>
      <c r="E30" s="107">
        <f>'1 North Wenatchee Ave'!E23+'2 Confluence Parkway'!E23+'3 Cascade Int'!E23+'4 Sunset Highway'!E23</f>
        <v>31924200</v>
      </c>
      <c r="I30" s="47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151"/>
      <c r="U30" s="43"/>
      <c r="V30" s="43"/>
      <c r="W30" s="43"/>
      <c r="X30" s="43"/>
      <c r="Y30" s="43"/>
      <c r="Z30" s="43"/>
    </row>
    <row r="31" spans="1:26" x14ac:dyDescent="0.25">
      <c r="A31" s="3"/>
      <c r="B31" s="3"/>
      <c r="C31" s="3" t="s">
        <v>35</v>
      </c>
      <c r="D31" s="7">
        <f>'1 North Wenatchee Ave'!D24+'2 Confluence Parkway'!D24+'3 Cascade Int'!D24+'4 Sunset Highway'!D24</f>
        <v>55857089</v>
      </c>
      <c r="E31" s="107">
        <f>'1 North Wenatchee Ave'!E24+'2 Confluence Parkway'!E24+'3 Cascade Int'!E24+'4 Sunset Highway'!E24</f>
        <v>58522010</v>
      </c>
      <c r="I31" s="47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151"/>
      <c r="U31" s="43"/>
      <c r="V31" s="43"/>
      <c r="W31" s="43"/>
      <c r="X31" s="43"/>
      <c r="Y31" s="43"/>
      <c r="Z31" s="43"/>
    </row>
    <row r="32" spans="1:26" x14ac:dyDescent="0.25">
      <c r="A32" s="3"/>
      <c r="B32" s="3"/>
      <c r="C32" s="3" t="s">
        <v>112</v>
      </c>
      <c r="D32" s="7">
        <f>'1 North Wenatchee Ave'!D25+'2 Confluence Parkway'!D25+'3 Cascade Int'!D25+'4 Sunset Highway'!D25</f>
        <v>21140693</v>
      </c>
      <c r="E32" s="107">
        <f>'1 North Wenatchee Ave'!E25+'2 Confluence Parkway'!E25+'3 Cascade Int'!E25+'4 Sunset Highway'!E25</f>
        <v>23000001</v>
      </c>
      <c r="I32" s="47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151"/>
      <c r="U32" s="43"/>
      <c r="V32" s="43"/>
      <c r="W32" s="43"/>
      <c r="X32" s="43"/>
      <c r="Y32" s="43"/>
      <c r="Z32" s="43"/>
    </row>
    <row r="33" spans="1:26" hidden="1" x14ac:dyDescent="0.25">
      <c r="A33" s="3"/>
      <c r="B33" s="3"/>
      <c r="C33" s="3" t="s">
        <v>38</v>
      </c>
      <c r="D33" s="7">
        <f>'1 North Wenatchee Ave'!D26+'2 Confluence Parkway'!D26+'3 Cascade Int'!D26+'4 Sunset Highway'!D26</f>
        <v>0</v>
      </c>
      <c r="E33" s="107">
        <f>'1 North Wenatchee Ave'!E26+'2 Confluence Parkway'!E26+'3 Cascade Int'!E26+'4 Sunset Highway'!E26</f>
        <v>138000</v>
      </c>
      <c r="I33" s="47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151"/>
      <c r="U33" s="43"/>
      <c r="V33" s="43"/>
      <c r="W33" s="43"/>
      <c r="X33" s="43"/>
      <c r="Y33" s="43"/>
      <c r="Z33" s="43"/>
    </row>
    <row r="34" spans="1:26" hidden="1" x14ac:dyDescent="0.25">
      <c r="A34" s="3"/>
      <c r="B34" s="3"/>
      <c r="C34" s="3" t="s">
        <v>11</v>
      </c>
      <c r="D34" s="7">
        <f>'1 North Wenatchee Ave'!D27+'2 Confluence Parkway'!D27+'3 Cascade Int'!D27+'4 Sunset Highway'!D27</f>
        <v>0</v>
      </c>
      <c r="E34" s="107">
        <f>'1 North Wenatchee Ave'!E27+'2 Confluence Parkway'!E27+'3 Cascade Int'!E27+'4 Sunset Highway'!E27</f>
        <v>0</v>
      </c>
      <c r="I34" s="47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151"/>
      <c r="U34" s="43"/>
      <c r="V34" s="43"/>
      <c r="W34" s="43"/>
      <c r="X34" s="43"/>
      <c r="Y34" s="43"/>
      <c r="Z34" s="43"/>
    </row>
    <row r="35" spans="1:26" ht="13.9" customHeight="1" x14ac:dyDescent="0.25">
      <c r="A35" s="3"/>
      <c r="B35" s="3"/>
      <c r="C35" s="3" t="s">
        <v>74</v>
      </c>
      <c r="D35" s="7">
        <f>'1 North Wenatchee Ave'!D28+'2 Confluence Parkway'!D28+'3 Cascade Int'!D28+'4 Sunset Highway'!D28</f>
        <v>0</v>
      </c>
      <c r="E35" s="115">
        <f>'1 North Wenatchee Ave'!E28+'2 Confluence Parkway'!E28+'3 Cascade Int'!E28+'4 Sunset Highway'!E28</f>
        <v>8613296</v>
      </c>
      <c r="I35" s="47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151"/>
      <c r="U35" s="43"/>
      <c r="V35" s="43"/>
      <c r="W35" s="43"/>
      <c r="X35" s="43"/>
      <c r="Y35" s="43"/>
      <c r="Z35" s="43"/>
    </row>
    <row r="36" spans="1:26" ht="1.5" customHeight="1" x14ac:dyDescent="0.25">
      <c r="A36" s="3"/>
      <c r="B36" s="3"/>
      <c r="C36" s="3"/>
      <c r="D36" s="9"/>
      <c r="E36" s="107"/>
      <c r="I36" s="47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151"/>
      <c r="U36" s="43"/>
      <c r="V36" s="43"/>
      <c r="W36" s="43"/>
      <c r="X36" s="43"/>
      <c r="Y36" s="43"/>
      <c r="Z36" s="43"/>
    </row>
    <row r="37" spans="1:26" x14ac:dyDescent="0.25">
      <c r="A37" s="3"/>
      <c r="B37" s="3" t="s">
        <v>17</v>
      </c>
      <c r="C37" s="3"/>
      <c r="D37" s="90">
        <f>SUM(D28:D36)</f>
        <v>108921982</v>
      </c>
      <c r="E37" s="107">
        <f>SUM(E28:E36)</f>
        <v>122197507</v>
      </c>
      <c r="I37" s="47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151"/>
      <c r="U37" s="43"/>
      <c r="V37" s="43"/>
      <c r="W37" s="43"/>
      <c r="X37" s="43"/>
      <c r="Y37" s="43"/>
      <c r="Z37" s="43"/>
    </row>
    <row r="38" spans="1:26" x14ac:dyDescent="0.25">
      <c r="A38" s="3" t="s">
        <v>13</v>
      </c>
      <c r="B38" s="3"/>
      <c r="C38" s="3"/>
      <c r="D38" s="7"/>
      <c r="E38" s="107"/>
      <c r="I38" s="47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151"/>
      <c r="U38" s="43"/>
      <c r="V38" s="43"/>
      <c r="W38" s="43"/>
      <c r="X38" s="43"/>
      <c r="Y38" s="43"/>
      <c r="Z38" s="43"/>
    </row>
    <row r="39" spans="1:26" x14ac:dyDescent="0.25">
      <c r="A39" s="3"/>
      <c r="B39" s="3"/>
      <c r="C39" s="3" t="s">
        <v>14</v>
      </c>
      <c r="D39" s="7">
        <f>'1 North Wenatchee Ave'!D32+'2 Confluence Parkway'!D32+'3 Cascade Int'!D32+'4 Sunset Highway'!D32</f>
        <v>0</v>
      </c>
      <c r="E39" s="107">
        <f>'1 North Wenatchee Ave'!E32+'2 Confluence Parkway'!E32+'3 Cascade Int'!E32+'4 Sunset Highway'!E32</f>
        <v>3225386.7852500002</v>
      </c>
      <c r="I39" s="47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151"/>
      <c r="U39" s="43"/>
      <c r="V39" s="43"/>
      <c r="W39" s="43"/>
      <c r="X39" s="43"/>
      <c r="Y39" s="43"/>
      <c r="Z39" s="43"/>
    </row>
    <row r="40" spans="1:26" x14ac:dyDescent="0.25">
      <c r="A40" s="3"/>
      <c r="B40" s="3"/>
      <c r="C40" s="3" t="s">
        <v>15</v>
      </c>
      <c r="D40" s="7">
        <f>'1 North Wenatchee Ave'!D33+'2 Confluence Parkway'!D33+'3 Cascade Int'!D33+'4 Sunset Highway'!D33-J136</f>
        <v>140414116</v>
      </c>
      <c r="E40" s="115">
        <f>'1 North Wenatchee Ave'!E33+'2 Confluence Parkway'!E33+'3 Cascade Int'!E33+'4 Sunset Highway'!E33</f>
        <v>140414116</v>
      </c>
      <c r="I40" s="47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151"/>
      <c r="U40" s="43"/>
      <c r="V40" s="43"/>
      <c r="W40" s="43"/>
      <c r="X40" s="43"/>
      <c r="Y40" s="43"/>
      <c r="Z40" s="43"/>
    </row>
    <row r="41" spans="1:26" hidden="1" x14ac:dyDescent="0.25">
      <c r="A41" s="3"/>
      <c r="B41" s="3"/>
      <c r="C41" s="3"/>
      <c r="D41" s="7">
        <f>'1 North Wenatchee Ave'!D34+'2 Confluence Parkway'!D34+'3 Cascade Int'!D34+'4 Sunset Highway'!D34</f>
        <v>0</v>
      </c>
      <c r="E41" s="107"/>
      <c r="I41" s="47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151"/>
      <c r="U41" s="43"/>
      <c r="V41" s="43"/>
      <c r="W41" s="43"/>
      <c r="X41" s="43"/>
      <c r="Y41" s="43"/>
      <c r="Z41" s="43"/>
    </row>
    <row r="42" spans="1:26" hidden="1" x14ac:dyDescent="0.25">
      <c r="A42" s="3"/>
      <c r="B42" s="3"/>
      <c r="C42" s="3"/>
      <c r="D42" s="9"/>
      <c r="E42" s="107"/>
      <c r="I42" s="47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151"/>
      <c r="U42" s="43"/>
      <c r="V42" s="43"/>
      <c r="W42" s="43"/>
      <c r="X42" s="43"/>
      <c r="Y42" s="43"/>
      <c r="Z42" s="43"/>
    </row>
    <row r="43" spans="1:26" x14ac:dyDescent="0.25">
      <c r="A43" s="3"/>
      <c r="B43" s="3" t="s">
        <v>18</v>
      </c>
      <c r="C43" s="3"/>
      <c r="D43" s="90">
        <f>SUM(D39:D42)</f>
        <v>140414116</v>
      </c>
      <c r="E43" s="107">
        <f>SUM(E39:E42)</f>
        <v>143639502.78525001</v>
      </c>
      <c r="I43" s="47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151"/>
      <c r="U43" s="43"/>
      <c r="V43" s="43"/>
      <c r="W43" s="43"/>
      <c r="X43" s="43"/>
      <c r="Y43" s="43"/>
      <c r="Z43" s="43"/>
    </row>
    <row r="44" spans="1:26" x14ac:dyDescent="0.25">
      <c r="A44" s="3"/>
      <c r="B44" s="3"/>
      <c r="C44" s="3"/>
      <c r="D44" s="11"/>
      <c r="E44" s="11"/>
      <c r="I44" s="24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151"/>
      <c r="U44" s="43"/>
      <c r="V44" s="43"/>
      <c r="W44" s="43"/>
      <c r="X44" s="43"/>
      <c r="Y44" s="43"/>
      <c r="Z44" s="43"/>
    </row>
    <row r="45" spans="1:26" x14ac:dyDescent="0.25">
      <c r="A45" s="91" t="s">
        <v>30</v>
      </c>
      <c r="B45" s="3"/>
      <c r="C45" s="3"/>
      <c r="D45" s="11">
        <f>D43+D37+D26</f>
        <v>262836098</v>
      </c>
      <c r="E45" s="11"/>
      <c r="I45" s="48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151"/>
      <c r="U45" s="43"/>
      <c r="V45" s="43"/>
      <c r="W45" s="43"/>
      <c r="X45" s="43"/>
      <c r="Y45" s="43"/>
      <c r="Z45" s="43"/>
    </row>
    <row r="46" spans="1:26" x14ac:dyDescent="0.25">
      <c r="A46" s="3"/>
      <c r="B46" s="3"/>
      <c r="C46" s="3"/>
      <c r="D46" s="11"/>
      <c r="E46" s="11"/>
      <c r="F46" s="27"/>
      <c r="G46" s="27"/>
      <c r="H46" s="28"/>
      <c r="I46" s="24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43"/>
      <c r="U46" s="43"/>
      <c r="V46" s="43"/>
      <c r="W46" s="43"/>
      <c r="X46" s="43"/>
      <c r="Y46" s="43"/>
      <c r="Z46" s="43"/>
    </row>
    <row r="47" spans="1:26" ht="18.75" x14ac:dyDescent="0.3">
      <c r="A47" s="75" t="s">
        <v>142</v>
      </c>
      <c r="B47" s="10"/>
      <c r="C47" s="10"/>
      <c r="D47" s="12"/>
      <c r="E47" s="12"/>
      <c r="F47" s="133"/>
      <c r="G47" s="133"/>
      <c r="H47" s="94"/>
      <c r="I47" s="25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43"/>
      <c r="U47" s="43"/>
      <c r="V47" s="43"/>
      <c r="W47" s="43"/>
      <c r="X47" s="43"/>
      <c r="Y47" s="43"/>
      <c r="Z47" s="43"/>
    </row>
    <row r="48" spans="1:26" ht="60" x14ac:dyDescent="0.25">
      <c r="A48" s="4"/>
      <c r="B48" s="4"/>
      <c r="C48" s="4" t="s">
        <v>69</v>
      </c>
      <c r="D48" s="20" t="s">
        <v>139</v>
      </c>
      <c r="E48" s="20" t="s">
        <v>79</v>
      </c>
      <c r="F48" s="99" t="s">
        <v>136</v>
      </c>
      <c r="G48" s="4" t="s">
        <v>137</v>
      </c>
      <c r="H48" s="4" t="s">
        <v>138</v>
      </c>
      <c r="I48" s="149" t="s">
        <v>140</v>
      </c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43"/>
      <c r="V48" s="43"/>
      <c r="W48" s="43"/>
      <c r="X48" s="43"/>
      <c r="Y48" s="43"/>
      <c r="Z48" s="43"/>
    </row>
    <row r="49" spans="1:26" x14ac:dyDescent="0.25">
      <c r="D49" s="7"/>
      <c r="E49" s="143"/>
      <c r="F49" s="168"/>
      <c r="G49" s="71"/>
      <c r="H49" s="139"/>
      <c r="I49" s="15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51"/>
      <c r="U49" s="43"/>
      <c r="V49" s="43"/>
      <c r="W49" s="43"/>
      <c r="X49" s="43"/>
      <c r="Y49" s="43"/>
      <c r="Z49" s="43"/>
    </row>
    <row r="50" spans="1:26" x14ac:dyDescent="0.25">
      <c r="A50" s="2" t="s">
        <v>24</v>
      </c>
      <c r="B50" s="2"/>
      <c r="C50" s="2"/>
      <c r="D50" s="39">
        <f>D52+D61+D70</f>
        <v>52664893</v>
      </c>
      <c r="E50" s="144">
        <f>E52+E61+E70</f>
        <v>61743497.850000001</v>
      </c>
      <c r="F50" s="65"/>
      <c r="G50" s="83"/>
      <c r="H50" s="66"/>
      <c r="I50" s="65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151"/>
      <c r="U50" s="43"/>
      <c r="V50" s="43"/>
      <c r="W50" s="43"/>
      <c r="X50" s="43"/>
      <c r="Y50" s="43"/>
      <c r="Z50" s="43"/>
    </row>
    <row r="51" spans="1:26" hidden="1" x14ac:dyDescent="0.25">
      <c r="D51" s="7"/>
      <c r="E51" s="145"/>
      <c r="F51" s="48"/>
      <c r="G51" s="27"/>
      <c r="H51" s="137"/>
      <c r="I51" s="15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51"/>
      <c r="U51" s="43"/>
      <c r="V51" s="43"/>
      <c r="W51" s="43"/>
      <c r="X51" s="43"/>
      <c r="Y51" s="43"/>
      <c r="Z51" s="43"/>
    </row>
    <row r="52" spans="1:26" x14ac:dyDescent="0.25">
      <c r="B52" t="s">
        <v>26</v>
      </c>
      <c r="D52" s="7">
        <f>'1 North Wenatchee Ave'!D45</f>
        <v>16793597</v>
      </c>
      <c r="E52" s="145">
        <f>'1 North Wenatchee Ave'!E45</f>
        <v>18236277</v>
      </c>
      <c r="F52" s="48">
        <f>D52</f>
        <v>16793597</v>
      </c>
      <c r="G52" s="27"/>
      <c r="H52" s="53"/>
      <c r="I52" s="47" t="s">
        <v>141</v>
      </c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151"/>
      <c r="U52" s="43"/>
      <c r="V52" s="43"/>
      <c r="W52" s="43"/>
      <c r="X52" s="43"/>
      <c r="Y52" s="43"/>
      <c r="Z52" s="43"/>
    </row>
    <row r="53" spans="1:26" hidden="1" x14ac:dyDescent="0.25">
      <c r="C53" t="s">
        <v>20</v>
      </c>
      <c r="D53" s="7">
        <f>'1 North Wenatchee Ave'!D46</f>
        <v>1508008</v>
      </c>
      <c r="E53" s="145">
        <f>'1 North Wenatchee Ave'!E46</f>
        <v>2702352</v>
      </c>
      <c r="F53" s="48"/>
      <c r="G53" s="27"/>
      <c r="H53" s="53"/>
      <c r="I53" s="47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151"/>
      <c r="U53" s="43"/>
      <c r="V53" s="43"/>
      <c r="W53" s="43"/>
      <c r="X53" s="43"/>
      <c r="Y53" s="43"/>
      <c r="Z53" s="43"/>
    </row>
    <row r="54" spans="1:26" hidden="1" x14ac:dyDescent="0.25">
      <c r="C54" t="s">
        <v>21</v>
      </c>
      <c r="D54" s="7">
        <f>'1 North Wenatchee Ave'!D47</f>
        <v>0</v>
      </c>
      <c r="E54" s="145">
        <f>'1 North Wenatchee Ave'!E47</f>
        <v>0</v>
      </c>
      <c r="F54" s="48"/>
      <c r="G54" s="27"/>
      <c r="H54" s="53"/>
      <c r="I54" s="47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151"/>
      <c r="U54" s="43"/>
      <c r="V54" s="43"/>
      <c r="W54" s="43"/>
      <c r="X54" s="43"/>
      <c r="Y54" s="43"/>
      <c r="Z54" s="43"/>
    </row>
    <row r="55" spans="1:26" hidden="1" x14ac:dyDescent="0.25">
      <c r="C55" t="s">
        <v>22</v>
      </c>
      <c r="D55" s="7">
        <f>'1 North Wenatchee Ave'!D48</f>
        <v>1346664</v>
      </c>
      <c r="E55" s="145">
        <f>'1 North Wenatchee Ave'!E48</f>
        <v>1475000</v>
      </c>
      <c r="F55" s="48"/>
      <c r="G55" s="27"/>
      <c r="H55" s="53"/>
      <c r="I55" s="47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151"/>
      <c r="U55" s="43"/>
      <c r="V55" s="43"/>
      <c r="W55" s="43"/>
      <c r="X55" s="43"/>
      <c r="Y55" s="43"/>
      <c r="Z55" s="43"/>
    </row>
    <row r="56" spans="1:26" hidden="1" x14ac:dyDescent="0.25">
      <c r="C56" t="s">
        <v>37</v>
      </c>
      <c r="D56" s="7">
        <f>'1 North Wenatchee Ave'!D49</f>
        <v>2090838.75</v>
      </c>
      <c r="E56" s="145">
        <f>'1 North Wenatchee Ave'!E49</f>
        <v>2108838.75</v>
      </c>
      <c r="F56" s="48"/>
      <c r="G56" s="27"/>
      <c r="H56" s="53"/>
      <c r="I56" s="47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151"/>
      <c r="U56" s="43"/>
      <c r="V56" s="43"/>
      <c r="W56" s="43"/>
      <c r="X56" s="43"/>
      <c r="Y56" s="43"/>
      <c r="Z56" s="43"/>
    </row>
    <row r="57" spans="1:26" hidden="1" x14ac:dyDescent="0.25">
      <c r="C57" t="s">
        <v>23</v>
      </c>
      <c r="D57" s="7">
        <f>'1 North Wenatchee Ave'!D50</f>
        <v>10454193.75</v>
      </c>
      <c r="E57" s="145">
        <f>'1 North Wenatchee Ave'!E50</f>
        <v>10544193.75</v>
      </c>
      <c r="F57" s="48"/>
      <c r="G57" s="27"/>
      <c r="H57" s="53"/>
      <c r="I57" s="47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151"/>
      <c r="U57" s="43"/>
      <c r="V57" s="43"/>
      <c r="W57" s="43"/>
      <c r="X57" s="43"/>
      <c r="Y57" s="43"/>
      <c r="Z57" s="43"/>
    </row>
    <row r="58" spans="1:26" hidden="1" x14ac:dyDescent="0.25">
      <c r="C58" t="s">
        <v>39</v>
      </c>
      <c r="D58" s="7">
        <f>'1 North Wenatchee Ave'!D51</f>
        <v>1393892.4999999998</v>
      </c>
      <c r="E58" s="145">
        <f>'1 North Wenatchee Ave'!E51</f>
        <v>1405892.4999999998</v>
      </c>
      <c r="F58" s="48"/>
      <c r="G58" s="27"/>
      <c r="H58" s="53"/>
      <c r="I58" s="47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151"/>
      <c r="U58" s="43"/>
      <c r="V58" s="43"/>
      <c r="W58" s="43"/>
      <c r="X58" s="43"/>
      <c r="Y58" s="43"/>
      <c r="Z58" s="43"/>
    </row>
    <row r="59" spans="1:26" hidden="1" x14ac:dyDescent="0.25">
      <c r="D59" s="7"/>
      <c r="E59" s="145"/>
      <c r="F59" s="48"/>
      <c r="G59" s="27"/>
      <c r="H59" s="53"/>
      <c r="I59" s="47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151"/>
      <c r="U59" s="43"/>
      <c r="V59" s="43"/>
      <c r="W59" s="43"/>
      <c r="X59" s="43"/>
      <c r="Y59" s="43"/>
      <c r="Z59" s="43"/>
    </row>
    <row r="60" spans="1:26" hidden="1" x14ac:dyDescent="0.25">
      <c r="D60" s="7"/>
      <c r="E60" s="145"/>
      <c r="F60" s="48"/>
      <c r="G60" s="27"/>
      <c r="H60" s="53"/>
      <c r="I60" s="15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51"/>
      <c r="U60" s="43"/>
      <c r="V60" s="43"/>
      <c r="W60" s="43"/>
      <c r="X60" s="43"/>
      <c r="Y60" s="43"/>
      <c r="Z60" s="43"/>
    </row>
    <row r="61" spans="1:26" x14ac:dyDescent="0.25">
      <c r="B61" s="14" t="s">
        <v>25</v>
      </c>
      <c r="C61" s="190"/>
      <c r="D61" s="7">
        <f>'1 North Wenatchee Ave'!D54</f>
        <v>31524200</v>
      </c>
      <c r="E61" s="234">
        <f>'1 North Wenatchee Ave'!E54</f>
        <v>38507219.850000001</v>
      </c>
      <c r="F61" s="235"/>
      <c r="G61" s="236"/>
      <c r="H61" s="237">
        <f>D61</f>
        <v>31524200</v>
      </c>
      <c r="I61" s="47"/>
      <c r="J61" s="192"/>
      <c r="K61" s="192"/>
      <c r="L61" s="53"/>
      <c r="M61" s="53"/>
      <c r="N61" s="53"/>
      <c r="O61" s="53"/>
      <c r="P61" s="53"/>
      <c r="Q61" s="53"/>
      <c r="R61" s="53"/>
      <c r="S61" s="53"/>
      <c r="T61" s="151"/>
      <c r="U61" s="43"/>
      <c r="V61" s="43"/>
      <c r="W61" s="43"/>
      <c r="X61" s="43"/>
      <c r="Y61" s="43"/>
      <c r="Z61" s="43"/>
    </row>
    <row r="62" spans="1:26" hidden="1" x14ac:dyDescent="0.25">
      <c r="C62" t="s">
        <v>20</v>
      </c>
      <c r="D62" s="7">
        <f>'1 North Wenatchee Ave'!D55</f>
        <v>2045999.9999999995</v>
      </c>
      <c r="E62" s="145">
        <f>'1 North Wenatchee Ave'!E55</f>
        <v>4330885.8499999996</v>
      </c>
      <c r="F62" s="48"/>
      <c r="G62" s="27"/>
      <c r="H62" s="53"/>
      <c r="I62" s="47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151"/>
      <c r="U62" s="43"/>
      <c r="V62" s="43"/>
      <c r="W62" s="43"/>
      <c r="X62" s="43"/>
      <c r="Y62" s="43"/>
      <c r="Z62" s="43"/>
    </row>
    <row r="63" spans="1:26" hidden="1" x14ac:dyDescent="0.25">
      <c r="C63" t="s">
        <v>21</v>
      </c>
      <c r="D63" s="7">
        <f>'1 North Wenatchee Ave'!D56</f>
        <v>0</v>
      </c>
      <c r="E63" s="145">
        <f>'1 North Wenatchee Ave'!E56</f>
        <v>0</v>
      </c>
      <c r="F63" s="48"/>
      <c r="G63" s="27"/>
      <c r="H63" s="53"/>
      <c r="I63" s="47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151"/>
      <c r="U63" s="43"/>
      <c r="V63" s="43"/>
      <c r="W63" s="43"/>
      <c r="X63" s="43"/>
      <c r="Y63" s="43"/>
      <c r="Z63" s="43"/>
    </row>
    <row r="64" spans="1:26" hidden="1" x14ac:dyDescent="0.25">
      <c r="C64" t="s">
        <v>22</v>
      </c>
      <c r="D64" s="7">
        <f>'1 North Wenatchee Ave'!D57</f>
        <v>0</v>
      </c>
      <c r="E64" s="145">
        <f>'1 North Wenatchee Ave'!E57</f>
        <v>3290340</v>
      </c>
      <c r="F64" s="48"/>
      <c r="G64" s="27"/>
      <c r="H64" s="53"/>
      <c r="I64" s="47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151"/>
      <c r="U64" s="43"/>
      <c r="V64" s="43"/>
      <c r="W64" s="43"/>
      <c r="X64" s="43"/>
      <c r="Y64" s="43"/>
      <c r="Z64" s="43"/>
    </row>
    <row r="65" spans="1:26" hidden="1" x14ac:dyDescent="0.25">
      <c r="C65" t="s">
        <v>37</v>
      </c>
      <c r="D65" s="7">
        <f>'1 North Wenatchee Ave'!D58</f>
        <v>2837000</v>
      </c>
      <c r="E65" s="145">
        <f>'1 North Wenatchee Ave'!E58</f>
        <v>2837000</v>
      </c>
      <c r="F65" s="48"/>
      <c r="G65" s="27"/>
      <c r="H65" s="53"/>
      <c r="I65" s="47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151"/>
      <c r="U65" s="43"/>
      <c r="V65" s="43"/>
      <c r="W65" s="43"/>
      <c r="X65" s="43"/>
      <c r="Y65" s="43"/>
      <c r="Z65" s="43"/>
    </row>
    <row r="66" spans="1:26" hidden="1" x14ac:dyDescent="0.25">
      <c r="C66" t="s">
        <v>23</v>
      </c>
      <c r="D66" s="7">
        <f>'1 North Wenatchee Ave'!D59</f>
        <v>23639000</v>
      </c>
      <c r="E66" s="145">
        <f>'1 North Wenatchee Ave'!E59</f>
        <v>25046794</v>
      </c>
      <c r="F66" s="48"/>
      <c r="G66" s="27"/>
      <c r="H66" s="53"/>
      <c r="I66" s="47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151"/>
      <c r="U66" s="43"/>
      <c r="V66" s="43"/>
      <c r="W66" s="43"/>
      <c r="X66" s="43"/>
      <c r="Y66" s="43"/>
      <c r="Z66" s="43"/>
    </row>
    <row r="67" spans="1:26" hidden="1" x14ac:dyDescent="0.25">
      <c r="C67" t="s">
        <v>39</v>
      </c>
      <c r="D67" s="7">
        <f>'1 North Wenatchee Ave'!D60</f>
        <v>3002200</v>
      </c>
      <c r="E67" s="145">
        <f>'1 North Wenatchee Ave'!E60</f>
        <v>3002200</v>
      </c>
      <c r="F67" s="48"/>
      <c r="G67" s="27"/>
      <c r="H67" s="53"/>
      <c r="I67" s="47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151"/>
      <c r="U67" s="43"/>
      <c r="V67" s="43"/>
      <c r="W67" s="43"/>
      <c r="X67" s="43"/>
      <c r="Y67" s="43"/>
      <c r="Z67" s="43"/>
    </row>
    <row r="68" spans="1:26" hidden="1" x14ac:dyDescent="0.25">
      <c r="D68" s="7"/>
      <c r="E68" s="145"/>
      <c r="F68" s="48"/>
      <c r="G68" s="27"/>
      <c r="H68" s="53"/>
      <c r="I68" s="47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151"/>
      <c r="U68" s="43"/>
      <c r="V68" s="43"/>
      <c r="W68" s="43"/>
      <c r="X68" s="43"/>
      <c r="Y68" s="43"/>
      <c r="Z68" s="43"/>
    </row>
    <row r="69" spans="1:26" hidden="1" x14ac:dyDescent="0.25">
      <c r="D69" s="7"/>
      <c r="E69" s="145"/>
      <c r="F69" s="48"/>
      <c r="G69" s="27"/>
      <c r="H69" s="53"/>
      <c r="I69" s="15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51"/>
      <c r="U69" s="43"/>
      <c r="V69" s="43"/>
      <c r="W69" s="43"/>
      <c r="X69" s="43"/>
      <c r="Y69" s="43"/>
      <c r="Z69" s="43"/>
    </row>
    <row r="70" spans="1:26" x14ac:dyDescent="0.25">
      <c r="B70" t="s">
        <v>42</v>
      </c>
      <c r="D70" s="7">
        <f>'1 North Wenatchee Ave'!D63</f>
        <v>4347096</v>
      </c>
      <c r="E70" s="145">
        <f>'1 North Wenatchee Ave'!E63</f>
        <v>5000001</v>
      </c>
      <c r="F70" s="48"/>
      <c r="G70" s="27">
        <f>D70</f>
        <v>4347096</v>
      </c>
      <c r="H70" s="53"/>
      <c r="I70" s="47"/>
      <c r="M70" s="53"/>
      <c r="N70" s="53"/>
      <c r="O70" s="53"/>
      <c r="P70" s="53"/>
      <c r="Q70" s="53"/>
      <c r="R70" s="53"/>
      <c r="S70" s="53"/>
      <c r="T70" s="151"/>
      <c r="U70" s="43"/>
      <c r="V70" s="43"/>
      <c r="W70" s="43"/>
      <c r="X70" s="43"/>
      <c r="Y70" s="43"/>
      <c r="Z70" s="43"/>
    </row>
    <row r="71" spans="1:26" hidden="1" x14ac:dyDescent="0.25">
      <c r="C71" t="s">
        <v>20</v>
      </c>
      <c r="D71" s="7">
        <f>'1 North Wenatchee Ave'!D64</f>
        <v>6021</v>
      </c>
      <c r="E71" s="145"/>
      <c r="F71" s="48"/>
      <c r="G71" s="27"/>
      <c r="H71" s="53"/>
      <c r="I71" s="47"/>
      <c r="M71" s="53"/>
      <c r="N71" s="53"/>
      <c r="O71" s="53"/>
      <c r="P71" s="53"/>
      <c r="Q71" s="53"/>
      <c r="R71" s="53"/>
      <c r="S71" s="53"/>
      <c r="T71" s="151"/>
      <c r="U71" s="43"/>
      <c r="V71" s="43"/>
      <c r="W71" s="43"/>
      <c r="X71" s="43"/>
      <c r="Y71" s="43"/>
      <c r="Z71" s="43"/>
    </row>
    <row r="72" spans="1:26" hidden="1" x14ac:dyDescent="0.25">
      <c r="C72" t="s">
        <v>21</v>
      </c>
      <c r="D72" s="7">
        <f>'1 North Wenatchee Ave'!D65</f>
        <v>0</v>
      </c>
      <c r="E72" s="145"/>
      <c r="F72" s="48"/>
      <c r="G72" s="27"/>
      <c r="H72" s="53"/>
      <c r="I72" s="47"/>
      <c r="M72" s="53"/>
      <c r="N72" s="53"/>
      <c r="O72" s="53"/>
      <c r="P72" s="53"/>
      <c r="Q72" s="53"/>
      <c r="R72" s="53"/>
      <c r="S72" s="53"/>
      <c r="T72" s="151"/>
      <c r="U72" s="43"/>
      <c r="V72" s="43"/>
      <c r="W72" s="43"/>
      <c r="X72" s="43"/>
      <c r="Y72" s="43"/>
      <c r="Z72" s="43"/>
    </row>
    <row r="73" spans="1:26" hidden="1" x14ac:dyDescent="0.25">
      <c r="C73" t="s">
        <v>22</v>
      </c>
      <c r="D73" s="7">
        <f>'1 North Wenatchee Ave'!D66</f>
        <v>0</v>
      </c>
      <c r="E73" s="145"/>
      <c r="F73" s="48"/>
      <c r="G73" s="27"/>
      <c r="H73" s="53"/>
      <c r="I73" s="47"/>
      <c r="M73" s="53"/>
      <c r="N73" s="53"/>
      <c r="O73" s="53"/>
      <c r="P73" s="53"/>
      <c r="Q73" s="53"/>
      <c r="R73" s="53"/>
      <c r="S73" s="53"/>
      <c r="T73" s="151"/>
      <c r="U73" s="43"/>
      <c r="V73" s="43"/>
      <c r="W73" s="43"/>
      <c r="X73" s="43"/>
      <c r="Y73" s="43"/>
      <c r="Z73" s="43"/>
    </row>
    <row r="74" spans="1:26" hidden="1" x14ac:dyDescent="0.25">
      <c r="C74" t="s">
        <v>37</v>
      </c>
      <c r="D74" s="7">
        <f>'1 North Wenatchee Ave'!D67</f>
        <v>651161.25</v>
      </c>
      <c r="E74" s="145"/>
      <c r="F74" s="48"/>
      <c r="G74" s="27"/>
      <c r="H74" s="53"/>
      <c r="I74" s="47"/>
      <c r="M74" s="53"/>
      <c r="N74" s="53"/>
      <c r="O74" s="53"/>
      <c r="P74" s="53"/>
      <c r="Q74" s="53"/>
      <c r="R74" s="53"/>
      <c r="S74" s="53"/>
      <c r="T74" s="151"/>
      <c r="U74" s="43"/>
      <c r="V74" s="43"/>
      <c r="W74" s="43"/>
      <c r="X74" s="43"/>
      <c r="Y74" s="43"/>
      <c r="Z74" s="43"/>
    </row>
    <row r="75" spans="1:26" hidden="1" x14ac:dyDescent="0.25">
      <c r="C75" t="s">
        <v>23</v>
      </c>
      <c r="D75" s="7">
        <f>'1 North Wenatchee Ave'!D68</f>
        <v>3255806.25</v>
      </c>
      <c r="E75" s="145"/>
      <c r="F75" s="48"/>
      <c r="G75" s="27"/>
      <c r="H75" s="53"/>
      <c r="I75" s="47"/>
      <c r="M75" s="53"/>
      <c r="N75" s="53"/>
      <c r="O75" s="53"/>
      <c r="P75" s="53"/>
      <c r="Q75" s="53"/>
      <c r="R75" s="53"/>
      <c r="S75" s="53"/>
      <c r="T75" s="151"/>
      <c r="U75" s="43"/>
      <c r="V75" s="43"/>
      <c r="W75" s="43"/>
      <c r="X75" s="43"/>
      <c r="Y75" s="43"/>
      <c r="Z75" s="43"/>
    </row>
    <row r="76" spans="1:26" hidden="1" x14ac:dyDescent="0.25">
      <c r="C76" t="s">
        <v>39</v>
      </c>
      <c r="D76" s="7">
        <f>'1 North Wenatchee Ave'!D69</f>
        <v>434107.50000000006</v>
      </c>
      <c r="E76" s="145"/>
      <c r="F76" s="48"/>
      <c r="G76" s="27"/>
      <c r="H76" s="53"/>
      <c r="I76" s="47"/>
      <c r="M76" s="53"/>
      <c r="N76" s="53"/>
      <c r="O76" s="53"/>
      <c r="P76" s="53"/>
      <c r="Q76" s="53"/>
      <c r="R76" s="53"/>
      <c r="S76" s="53"/>
      <c r="T76" s="151"/>
      <c r="U76" s="43"/>
      <c r="V76" s="43"/>
      <c r="W76" s="43"/>
      <c r="X76" s="43"/>
      <c r="Y76" s="43"/>
      <c r="Z76" s="43"/>
    </row>
    <row r="77" spans="1:26" hidden="1" x14ac:dyDescent="0.25">
      <c r="D77" s="7"/>
      <c r="E77" s="145"/>
      <c r="F77" s="48"/>
      <c r="G77" s="27"/>
      <c r="H77" s="53"/>
      <c r="I77" s="47"/>
      <c r="M77" s="53"/>
      <c r="N77" s="53"/>
      <c r="O77" s="53"/>
      <c r="P77" s="53"/>
      <c r="Q77" s="53"/>
      <c r="R77" s="53"/>
      <c r="S77" s="53"/>
      <c r="T77" s="151"/>
      <c r="U77" s="43"/>
      <c r="V77" s="43"/>
      <c r="W77" s="43"/>
      <c r="X77" s="43"/>
      <c r="Y77" s="43"/>
      <c r="Z77" s="43"/>
    </row>
    <row r="78" spans="1:26" hidden="1" x14ac:dyDescent="0.25">
      <c r="D78" s="7"/>
      <c r="E78" s="145"/>
      <c r="F78" s="48"/>
      <c r="G78" s="27"/>
      <c r="H78" s="53"/>
      <c r="I78" s="152"/>
      <c r="M78" s="137"/>
      <c r="N78" s="137"/>
      <c r="O78" s="137"/>
      <c r="P78" s="137"/>
      <c r="Q78" s="137"/>
      <c r="R78" s="137"/>
      <c r="S78" s="137"/>
      <c r="T78" s="151"/>
      <c r="U78" s="43"/>
      <c r="V78" s="43"/>
      <c r="W78" s="43"/>
      <c r="X78" s="43"/>
      <c r="Y78" s="43"/>
      <c r="Z78" s="43"/>
    </row>
    <row r="79" spans="1:26" x14ac:dyDescent="0.25">
      <c r="D79" s="7"/>
      <c r="E79" s="145"/>
      <c r="F79" s="48"/>
      <c r="G79" s="27"/>
      <c r="H79" s="53"/>
      <c r="I79" s="152"/>
      <c r="M79" s="137"/>
      <c r="N79" s="137"/>
      <c r="O79" s="137"/>
      <c r="P79" s="137"/>
      <c r="Q79" s="137"/>
      <c r="R79" s="137"/>
      <c r="S79" s="137"/>
      <c r="T79" s="151"/>
      <c r="U79" s="43"/>
      <c r="V79" s="43"/>
      <c r="W79" s="43"/>
      <c r="X79" s="43"/>
      <c r="Y79" s="43"/>
      <c r="Z79" s="43"/>
    </row>
    <row r="80" spans="1:26" x14ac:dyDescent="0.25">
      <c r="A80" s="2" t="s">
        <v>27</v>
      </c>
      <c r="B80" s="2"/>
      <c r="C80" s="2"/>
      <c r="D80" s="39">
        <f>D82+D91+D100</f>
        <v>137949360</v>
      </c>
      <c r="E80" s="144">
        <f>E82+E91+E100</f>
        <v>141157431</v>
      </c>
      <c r="F80" s="65"/>
      <c r="G80" s="83"/>
      <c r="H80" s="66"/>
      <c r="I80" s="65"/>
      <c r="M80" s="66"/>
      <c r="N80" s="66"/>
      <c r="O80" s="66"/>
      <c r="P80" s="66"/>
      <c r="Q80" s="66"/>
      <c r="R80" s="66"/>
      <c r="S80" s="66"/>
      <c r="T80" s="153"/>
      <c r="U80" s="43"/>
      <c r="V80" s="43"/>
      <c r="W80" s="43"/>
      <c r="X80" s="43"/>
      <c r="Y80" s="43"/>
      <c r="Z80" s="43"/>
    </row>
    <row r="81" spans="2:26" hidden="1" x14ac:dyDescent="0.25">
      <c r="D81" s="7"/>
      <c r="E81" s="145"/>
      <c r="F81" s="48"/>
      <c r="G81" s="27"/>
      <c r="H81" s="53"/>
      <c r="I81" s="152"/>
      <c r="M81" s="137"/>
      <c r="N81" s="137"/>
      <c r="O81" s="137"/>
      <c r="P81" s="137"/>
      <c r="Q81" s="137"/>
      <c r="R81" s="137"/>
      <c r="S81" s="137"/>
      <c r="T81" s="151"/>
      <c r="U81" s="43"/>
      <c r="V81" s="43"/>
      <c r="W81" s="43"/>
      <c r="X81" s="43"/>
      <c r="Y81" s="43"/>
      <c r="Z81" s="43"/>
    </row>
    <row r="82" spans="2:26" x14ac:dyDescent="0.25">
      <c r="B82" t="s">
        <v>29</v>
      </c>
      <c r="D82" s="7">
        <f>'2 Confluence Parkway'!D45</f>
        <v>61087756</v>
      </c>
      <c r="E82" s="145">
        <f>'2 Confluence Parkway'!E45</f>
        <v>61837756</v>
      </c>
      <c r="F82" s="48"/>
      <c r="G82" s="27"/>
      <c r="H82" s="53">
        <f>D82</f>
        <v>61087756</v>
      </c>
      <c r="I82" s="47" t="s">
        <v>143</v>
      </c>
      <c r="M82" s="53"/>
      <c r="N82" s="53"/>
      <c r="O82" s="53"/>
      <c r="P82" s="53"/>
      <c r="Q82" s="53"/>
      <c r="R82" s="53"/>
      <c r="S82" s="53"/>
      <c r="T82" s="151"/>
      <c r="U82" s="43"/>
      <c r="V82" s="43"/>
      <c r="W82" s="43"/>
      <c r="X82" s="43"/>
      <c r="Y82" s="43"/>
      <c r="Z82" s="43"/>
    </row>
    <row r="83" spans="2:26" hidden="1" x14ac:dyDescent="0.25">
      <c r="C83" t="s">
        <v>20</v>
      </c>
      <c r="D83" s="7">
        <f>'2 Confluence Parkway'!D46</f>
        <v>4350000</v>
      </c>
      <c r="E83" s="145">
        <f>'2 Confluence Parkway'!E46</f>
        <v>5000000</v>
      </c>
      <c r="F83" s="48"/>
      <c r="G83" s="27"/>
      <c r="H83" s="53"/>
      <c r="I83" s="47"/>
      <c r="M83" s="53"/>
      <c r="N83" s="53"/>
      <c r="O83" s="53"/>
      <c r="P83" s="53"/>
      <c r="Q83" s="53"/>
      <c r="R83" s="53"/>
      <c r="S83" s="53"/>
      <c r="T83" s="151"/>
      <c r="U83" s="43"/>
      <c r="V83" s="43"/>
      <c r="W83" s="43"/>
      <c r="X83" s="43"/>
      <c r="Y83" s="43"/>
      <c r="Z83" s="43"/>
    </row>
    <row r="84" spans="2:26" hidden="1" x14ac:dyDescent="0.25">
      <c r="C84" t="s">
        <v>21</v>
      </c>
      <c r="D84" s="7">
        <f>'2 Confluence Parkway'!D47</f>
        <v>0</v>
      </c>
      <c r="E84" s="145">
        <f>'2 Confluence Parkway'!E47</f>
        <v>500000</v>
      </c>
      <c r="F84" s="48"/>
      <c r="G84" s="27"/>
      <c r="H84" s="53"/>
      <c r="I84" s="47"/>
      <c r="M84" s="53"/>
      <c r="N84" s="53"/>
      <c r="O84" s="53"/>
      <c r="P84" s="53"/>
      <c r="Q84" s="53"/>
      <c r="R84" s="53"/>
      <c r="S84" s="53"/>
      <c r="T84" s="151"/>
      <c r="U84" s="43"/>
      <c r="V84" s="43"/>
      <c r="W84" s="43"/>
      <c r="X84" s="43"/>
      <c r="Y84" s="43"/>
      <c r="Z84" s="43"/>
    </row>
    <row r="85" spans="2:26" hidden="1" x14ac:dyDescent="0.25">
      <c r="C85" t="s">
        <v>22</v>
      </c>
      <c r="D85" s="7">
        <f>'2 Confluence Parkway'!D48</f>
        <v>9648428</v>
      </c>
      <c r="E85" s="145">
        <f>'2 Confluence Parkway'!E48</f>
        <v>9648428</v>
      </c>
      <c r="F85" s="48"/>
      <c r="G85" s="27"/>
      <c r="H85" s="53"/>
      <c r="I85" s="47"/>
      <c r="M85" s="53"/>
      <c r="N85" s="53"/>
      <c r="O85" s="53"/>
      <c r="P85" s="53"/>
      <c r="Q85" s="53"/>
      <c r="R85" s="53"/>
      <c r="S85" s="53"/>
      <c r="T85" s="151"/>
      <c r="U85" s="43"/>
      <c r="V85" s="43"/>
      <c r="W85" s="43"/>
      <c r="X85" s="43"/>
      <c r="Y85" s="43"/>
      <c r="Z85" s="43"/>
    </row>
    <row r="86" spans="2:26" hidden="1" x14ac:dyDescent="0.25">
      <c r="C86" t="s">
        <v>37</v>
      </c>
      <c r="D86" s="7">
        <f>'2 Confluence Parkway'!D49</f>
        <v>4400000</v>
      </c>
      <c r="E86" s="145">
        <f>'2 Confluence Parkway'!E49</f>
        <v>4400000</v>
      </c>
      <c r="F86" s="48"/>
      <c r="G86" s="27"/>
      <c r="H86" s="53"/>
      <c r="I86" s="47"/>
      <c r="M86" s="53"/>
      <c r="N86" s="53"/>
      <c r="O86" s="53"/>
      <c r="P86" s="53"/>
      <c r="Q86" s="53"/>
      <c r="R86" s="53"/>
      <c r="S86" s="53"/>
      <c r="T86" s="151"/>
      <c r="U86" s="43"/>
      <c r="V86" s="43"/>
      <c r="W86" s="43"/>
      <c r="X86" s="43"/>
      <c r="Y86" s="43"/>
      <c r="Z86" s="43"/>
    </row>
    <row r="87" spans="2:26" hidden="1" x14ac:dyDescent="0.25">
      <c r="C87" t="s">
        <v>23</v>
      </c>
      <c r="D87" s="7">
        <f>'2 Confluence Parkway'!D50</f>
        <v>36669000</v>
      </c>
      <c r="E87" s="145">
        <f>'2 Confluence Parkway'!E50</f>
        <v>36669000</v>
      </c>
      <c r="F87" s="48"/>
      <c r="G87" s="27"/>
      <c r="H87" s="53"/>
      <c r="I87" s="47"/>
      <c r="M87" s="53"/>
      <c r="N87" s="53"/>
      <c r="O87" s="53"/>
      <c r="P87" s="53"/>
      <c r="Q87" s="53"/>
      <c r="R87" s="53"/>
      <c r="S87" s="53"/>
      <c r="T87" s="151"/>
      <c r="U87" s="43"/>
      <c r="V87" s="43"/>
      <c r="W87" s="43"/>
      <c r="X87" s="43"/>
      <c r="Y87" s="43"/>
      <c r="Z87" s="43"/>
    </row>
    <row r="88" spans="2:26" hidden="1" x14ac:dyDescent="0.25">
      <c r="C88" t="s">
        <v>39</v>
      </c>
      <c r="D88" s="7">
        <f>'2 Confluence Parkway'!D51</f>
        <v>5620328</v>
      </c>
      <c r="E88" s="145">
        <f>'2 Confluence Parkway'!E51</f>
        <v>5620328</v>
      </c>
      <c r="F88" s="48"/>
      <c r="G88" s="27"/>
      <c r="H88" s="53"/>
      <c r="I88" s="47"/>
      <c r="M88" s="53"/>
      <c r="N88" s="53"/>
      <c r="O88" s="53"/>
      <c r="P88" s="53"/>
      <c r="Q88" s="53"/>
      <c r="R88" s="53"/>
      <c r="S88" s="53"/>
      <c r="T88" s="151"/>
      <c r="U88" s="43"/>
      <c r="V88" s="43"/>
      <c r="W88" s="43"/>
      <c r="X88" s="43"/>
      <c r="Y88" s="43"/>
      <c r="Z88" s="43"/>
    </row>
    <row r="89" spans="2:26" hidden="1" x14ac:dyDescent="0.25">
      <c r="D89" s="7"/>
      <c r="E89" s="145"/>
      <c r="F89" s="48"/>
      <c r="G89" s="27"/>
      <c r="H89" s="53"/>
      <c r="I89" s="47"/>
      <c r="M89" s="53"/>
      <c r="N89" s="53"/>
      <c r="O89" s="53"/>
      <c r="P89" s="53"/>
      <c r="Q89" s="53"/>
      <c r="R89" s="53"/>
      <c r="S89" s="53"/>
      <c r="T89" s="151"/>
      <c r="U89" s="43"/>
      <c r="V89" s="43"/>
      <c r="W89" s="43"/>
      <c r="X89" s="43"/>
      <c r="Y89" s="43"/>
      <c r="Z89" s="43"/>
    </row>
    <row r="90" spans="2:26" hidden="1" x14ac:dyDescent="0.25">
      <c r="D90" s="7"/>
      <c r="E90" s="145"/>
      <c r="F90" s="48"/>
      <c r="G90" s="27"/>
      <c r="H90" s="53"/>
      <c r="I90" s="152"/>
      <c r="M90" s="137"/>
      <c r="N90" s="137"/>
      <c r="O90" s="137"/>
      <c r="P90" s="137"/>
      <c r="Q90" s="137"/>
      <c r="R90" s="137"/>
      <c r="S90" s="137"/>
      <c r="T90" s="151"/>
      <c r="U90" s="43"/>
      <c r="V90" s="43"/>
      <c r="W90" s="43"/>
      <c r="X90" s="43"/>
      <c r="Y90" s="43"/>
      <c r="Z90" s="43"/>
    </row>
    <row r="91" spans="2:26" x14ac:dyDescent="0.25">
      <c r="B91" t="s">
        <v>28</v>
      </c>
      <c r="D91" s="7">
        <f>'2 Confluence Parkway'!D54</f>
        <v>66861604</v>
      </c>
      <c r="E91" s="145">
        <f>'2 Confluence Parkway'!E54</f>
        <v>69269675</v>
      </c>
      <c r="F91" s="48">
        <f>D91</f>
        <v>66861604</v>
      </c>
      <c r="G91" s="27"/>
      <c r="H91" s="53"/>
      <c r="I91" s="47"/>
      <c r="M91" s="53"/>
      <c r="N91" s="53"/>
      <c r="O91" s="53"/>
      <c r="P91" s="53"/>
      <c r="Q91" s="53"/>
      <c r="R91" s="53"/>
      <c r="S91" s="53"/>
      <c r="T91" s="151"/>
      <c r="U91" s="43"/>
      <c r="V91" s="43"/>
      <c r="W91" s="43"/>
      <c r="X91" s="43"/>
      <c r="Y91" s="43"/>
      <c r="Z91" s="43"/>
    </row>
    <row r="92" spans="2:26" hidden="1" x14ac:dyDescent="0.25">
      <c r="C92" t="s">
        <v>20</v>
      </c>
      <c r="D92" s="7">
        <f>'2 Confluence Parkway'!D55</f>
        <v>4699578</v>
      </c>
      <c r="E92" s="145">
        <f>'2 Confluence Parkway'!E55</f>
        <v>5711000</v>
      </c>
      <c r="F92" s="48"/>
      <c r="G92" s="27"/>
      <c r="H92" s="53"/>
      <c r="I92" s="47"/>
      <c r="M92" s="53"/>
      <c r="N92" s="53"/>
      <c r="O92" s="53"/>
      <c r="P92" s="53"/>
      <c r="Q92" s="53"/>
      <c r="R92" s="53"/>
      <c r="S92" s="53"/>
      <c r="T92" s="151"/>
      <c r="U92" s="43"/>
      <c r="V92" s="43"/>
      <c r="W92" s="43"/>
      <c r="X92" s="43"/>
      <c r="Y92" s="43"/>
      <c r="Z92" s="43"/>
    </row>
    <row r="93" spans="2:26" hidden="1" x14ac:dyDescent="0.25">
      <c r="C93" t="s">
        <v>21</v>
      </c>
      <c r="D93" s="7">
        <f>'2 Confluence Parkway'!D56</f>
        <v>1053351</v>
      </c>
      <c r="E93" s="145">
        <f>'2 Confluence Parkway'!E56</f>
        <v>2450000</v>
      </c>
      <c r="F93" s="48"/>
      <c r="G93" s="27"/>
      <c r="H93" s="53"/>
      <c r="I93" s="47"/>
      <c r="M93" s="53"/>
      <c r="N93" s="53"/>
      <c r="O93" s="53"/>
      <c r="P93" s="53"/>
      <c r="Q93" s="53"/>
      <c r="R93" s="53"/>
      <c r="S93" s="53"/>
      <c r="T93" s="151"/>
      <c r="U93" s="43"/>
      <c r="V93" s="43"/>
      <c r="W93" s="43"/>
      <c r="X93" s="43"/>
      <c r="Y93" s="43"/>
      <c r="Z93" s="43"/>
    </row>
    <row r="94" spans="2:26" hidden="1" x14ac:dyDescent="0.25">
      <c r="C94" t="s">
        <v>22</v>
      </c>
      <c r="D94" s="7">
        <f>'2 Confluence Parkway'!D57</f>
        <v>9970000</v>
      </c>
      <c r="E94" s="145">
        <f>'2 Confluence Parkway'!E57</f>
        <v>9970000</v>
      </c>
      <c r="F94" s="48"/>
      <c r="G94" s="27"/>
      <c r="H94" s="53"/>
      <c r="I94" s="47"/>
      <c r="M94" s="53"/>
      <c r="N94" s="53"/>
      <c r="O94" s="53"/>
      <c r="P94" s="53"/>
      <c r="Q94" s="53"/>
      <c r="R94" s="53"/>
      <c r="S94" s="53"/>
      <c r="T94" s="151"/>
      <c r="U94" s="43"/>
      <c r="V94" s="43"/>
      <c r="W94" s="43"/>
      <c r="X94" s="43"/>
      <c r="Y94" s="43"/>
      <c r="Z94" s="43"/>
    </row>
    <row r="95" spans="2:26" hidden="1" x14ac:dyDescent="0.25">
      <c r="C95" t="s">
        <v>37</v>
      </c>
      <c r="D95" s="7">
        <f>'2 Confluence Parkway'!D58</f>
        <v>4312700</v>
      </c>
      <c r="E95" s="145">
        <f>'2 Confluence Parkway'!E58</f>
        <v>4312700</v>
      </c>
      <c r="F95" s="48"/>
      <c r="G95" s="27"/>
      <c r="H95" s="53"/>
      <c r="I95" s="47"/>
      <c r="M95" s="53"/>
      <c r="N95" s="53"/>
      <c r="O95" s="53"/>
      <c r="P95" s="53"/>
      <c r="Q95" s="53"/>
      <c r="R95" s="53"/>
      <c r="S95" s="53"/>
      <c r="T95" s="151"/>
      <c r="U95" s="43"/>
      <c r="V95" s="43"/>
      <c r="W95" s="43"/>
      <c r="X95" s="43"/>
      <c r="Y95" s="43"/>
      <c r="Z95" s="43"/>
    </row>
    <row r="96" spans="2:26" hidden="1" x14ac:dyDescent="0.25">
      <c r="C96" t="s">
        <v>23</v>
      </c>
      <c r="D96" s="7">
        <f>'2 Confluence Parkway'!D59</f>
        <v>35939000</v>
      </c>
      <c r="E96" s="145">
        <f>'2 Confluence Parkway'!E59</f>
        <v>35939000</v>
      </c>
      <c r="F96" s="48"/>
      <c r="G96" s="27"/>
      <c r="H96" s="53"/>
      <c r="I96" s="47"/>
      <c r="M96" s="53"/>
      <c r="N96" s="53"/>
      <c r="O96" s="53"/>
      <c r="P96" s="53"/>
      <c r="Q96" s="53"/>
      <c r="R96" s="53"/>
      <c r="S96" s="53"/>
      <c r="T96" s="151"/>
      <c r="U96" s="43"/>
      <c r="V96" s="43"/>
      <c r="W96" s="43"/>
      <c r="X96" s="43"/>
      <c r="Y96" s="43"/>
      <c r="Z96" s="43"/>
    </row>
    <row r="97" spans="1:26" hidden="1" x14ac:dyDescent="0.25">
      <c r="C97" t="s">
        <v>39</v>
      </c>
      <c r="D97" s="7">
        <f>'2 Confluence Parkway'!D60</f>
        <v>10886975</v>
      </c>
      <c r="E97" s="145">
        <f>'2 Confluence Parkway'!E60</f>
        <v>10886975</v>
      </c>
      <c r="F97" s="48"/>
      <c r="G97" s="27"/>
      <c r="H97" s="53"/>
      <c r="I97" s="47"/>
      <c r="M97" s="53"/>
      <c r="N97" s="53"/>
      <c r="O97" s="53"/>
      <c r="P97" s="53"/>
      <c r="Q97" s="53"/>
      <c r="R97" s="53"/>
      <c r="S97" s="53"/>
      <c r="T97" s="151"/>
      <c r="U97" s="43"/>
      <c r="V97" s="43"/>
      <c r="W97" s="43"/>
      <c r="X97" s="43"/>
      <c r="Y97" s="43"/>
      <c r="Z97" s="43"/>
    </row>
    <row r="98" spans="1:26" hidden="1" x14ac:dyDescent="0.25">
      <c r="D98" s="7"/>
      <c r="E98" s="145"/>
      <c r="F98" s="48"/>
      <c r="G98" s="27"/>
      <c r="H98" s="53"/>
      <c r="I98" s="47"/>
      <c r="M98" s="53"/>
      <c r="N98" s="53"/>
      <c r="O98" s="53"/>
      <c r="P98" s="53"/>
      <c r="Q98" s="53"/>
      <c r="R98" s="53"/>
      <c r="S98" s="53"/>
      <c r="T98" s="151"/>
      <c r="U98" s="43"/>
      <c r="V98" s="43"/>
      <c r="W98" s="43"/>
      <c r="X98" s="43"/>
      <c r="Y98" s="43"/>
      <c r="Z98" s="43"/>
    </row>
    <row r="99" spans="1:26" hidden="1" x14ac:dyDescent="0.25">
      <c r="D99" s="7"/>
      <c r="E99" s="145"/>
      <c r="F99" s="48"/>
      <c r="G99" s="27"/>
      <c r="H99" s="53"/>
      <c r="I99" s="152"/>
      <c r="M99" s="137"/>
      <c r="N99" s="137"/>
      <c r="O99" s="137"/>
      <c r="P99" s="137"/>
      <c r="Q99" s="137"/>
      <c r="R99" s="137"/>
      <c r="S99" s="137"/>
      <c r="T99" s="151"/>
      <c r="U99" s="43"/>
      <c r="V99" s="43"/>
      <c r="W99" s="43"/>
      <c r="X99" s="43"/>
      <c r="Y99" s="43"/>
      <c r="Z99" s="43"/>
    </row>
    <row r="100" spans="1:26" x14ac:dyDescent="0.25">
      <c r="A100" s="2"/>
      <c r="B100" t="s">
        <v>294</v>
      </c>
      <c r="C100" s="2"/>
      <c r="D100" s="7">
        <f>'2 Confluence Parkway'!D64</f>
        <v>10000000</v>
      </c>
      <c r="E100" s="145">
        <f>'2 Confluence Parkway'!E64</f>
        <v>10050000</v>
      </c>
      <c r="F100" s="48"/>
      <c r="G100" s="27"/>
      <c r="H100" s="53">
        <f>D100</f>
        <v>10000000</v>
      </c>
      <c r="I100" s="47"/>
      <c r="M100" s="53"/>
      <c r="N100" s="53"/>
      <c r="O100" s="53"/>
      <c r="P100" s="53"/>
      <c r="Q100" s="53"/>
      <c r="R100" s="53"/>
      <c r="S100" s="53"/>
      <c r="T100" s="151"/>
      <c r="U100" s="43"/>
      <c r="V100" s="43"/>
      <c r="W100" s="43"/>
      <c r="X100" s="43"/>
      <c r="Y100" s="43"/>
      <c r="Z100" s="43"/>
    </row>
    <row r="101" spans="1:26" hidden="1" x14ac:dyDescent="0.25">
      <c r="C101" t="s">
        <v>20</v>
      </c>
      <c r="D101" s="7">
        <f>'2 Confluence Parkway'!D65</f>
        <v>600000</v>
      </c>
      <c r="E101" s="145"/>
      <c r="F101" s="48"/>
      <c r="G101" s="27"/>
      <c r="H101" s="53"/>
      <c r="I101" s="47"/>
      <c r="M101" s="53"/>
      <c r="N101" s="53"/>
      <c r="O101" s="53"/>
      <c r="P101" s="53"/>
      <c r="Q101" s="53"/>
      <c r="R101" s="53"/>
      <c r="S101" s="53"/>
      <c r="T101" s="151"/>
      <c r="U101" s="43"/>
      <c r="V101" s="43"/>
      <c r="W101" s="43"/>
      <c r="X101" s="43"/>
      <c r="Y101" s="43"/>
      <c r="Z101" s="43"/>
    </row>
    <row r="102" spans="1:26" hidden="1" x14ac:dyDescent="0.25">
      <c r="C102" t="s">
        <v>21</v>
      </c>
      <c r="D102" s="7">
        <f>'2 Confluence Parkway'!D66</f>
        <v>200000</v>
      </c>
      <c r="E102" s="145"/>
      <c r="F102" s="48"/>
      <c r="G102" s="27"/>
      <c r="H102" s="53"/>
      <c r="I102" s="47"/>
      <c r="M102" s="53"/>
      <c r="N102" s="53"/>
      <c r="O102" s="53"/>
      <c r="P102" s="53"/>
      <c r="Q102" s="53"/>
      <c r="R102" s="53"/>
      <c r="S102" s="53"/>
      <c r="T102" s="151"/>
      <c r="U102" s="43"/>
      <c r="V102" s="43"/>
      <c r="W102" s="43"/>
      <c r="X102" s="43"/>
      <c r="Y102" s="43"/>
      <c r="Z102" s="43"/>
    </row>
    <row r="103" spans="1:26" hidden="1" x14ac:dyDescent="0.25">
      <c r="C103" t="s">
        <v>22</v>
      </c>
      <c r="D103" s="7">
        <f>'2 Confluence Parkway'!D67</f>
        <v>0</v>
      </c>
      <c r="E103" s="145"/>
      <c r="F103" s="48"/>
      <c r="G103" s="27"/>
      <c r="H103" s="53"/>
      <c r="I103" s="47"/>
      <c r="M103" s="53"/>
      <c r="N103" s="53"/>
      <c r="O103" s="53"/>
      <c r="P103" s="53"/>
      <c r="Q103" s="53"/>
      <c r="R103" s="53"/>
      <c r="S103" s="53"/>
      <c r="T103" s="151"/>
      <c r="U103" s="43"/>
      <c r="V103" s="43"/>
      <c r="W103" s="43"/>
      <c r="X103" s="43"/>
      <c r="Y103" s="43"/>
      <c r="Z103" s="43"/>
    </row>
    <row r="104" spans="1:26" hidden="1" x14ac:dyDescent="0.25">
      <c r="C104" t="s">
        <v>37</v>
      </c>
      <c r="D104" s="7">
        <f>'2 Confluence Parkway'!D68</f>
        <v>1040000</v>
      </c>
      <c r="E104" s="145"/>
      <c r="F104" s="48"/>
      <c r="G104" s="27"/>
      <c r="H104" s="53"/>
      <c r="I104" s="47"/>
      <c r="M104" s="53"/>
      <c r="N104" s="53"/>
      <c r="O104" s="53"/>
      <c r="P104" s="53"/>
      <c r="Q104" s="53"/>
      <c r="R104" s="53"/>
      <c r="S104" s="53"/>
      <c r="T104" s="151"/>
      <c r="U104" s="43"/>
      <c r="V104" s="43"/>
      <c r="W104" s="43"/>
      <c r="X104" s="43"/>
      <c r="Y104" s="43"/>
      <c r="Z104" s="43"/>
    </row>
    <row r="105" spans="1:26" hidden="1" x14ac:dyDescent="0.25">
      <c r="C105" t="s">
        <v>23</v>
      </c>
      <c r="D105" s="7">
        <f>'2 Confluence Parkway'!D69</f>
        <v>5400000</v>
      </c>
      <c r="E105" s="145"/>
      <c r="F105" s="48"/>
      <c r="G105" s="27"/>
      <c r="H105" s="53"/>
      <c r="I105" s="47"/>
      <c r="M105" s="53"/>
      <c r="N105" s="53"/>
      <c r="O105" s="53"/>
      <c r="P105" s="53"/>
      <c r="Q105" s="53"/>
      <c r="R105" s="53"/>
      <c r="S105" s="53"/>
      <c r="T105" s="151"/>
      <c r="U105" s="43"/>
      <c r="V105" s="43"/>
      <c r="W105" s="43"/>
      <c r="X105" s="43"/>
      <c r="Y105" s="43"/>
      <c r="Z105" s="43"/>
    </row>
    <row r="106" spans="1:26" hidden="1" x14ac:dyDescent="0.25">
      <c r="C106" t="s">
        <v>40</v>
      </c>
      <c r="D106" s="7">
        <f>'2 Confluence Parkway'!D70</f>
        <v>2760000</v>
      </c>
      <c r="E106" s="145"/>
      <c r="F106" s="48"/>
      <c r="G106" s="27"/>
      <c r="H106" s="53"/>
      <c r="I106" s="47"/>
      <c r="M106" s="53"/>
      <c r="N106" s="53"/>
      <c r="O106" s="53"/>
      <c r="P106" s="53"/>
      <c r="Q106" s="53"/>
      <c r="R106" s="53"/>
      <c r="S106" s="53"/>
      <c r="T106" s="151"/>
      <c r="U106" s="43"/>
      <c r="V106" s="43"/>
      <c r="W106" s="43"/>
      <c r="X106" s="43"/>
      <c r="Y106" s="43"/>
      <c r="Z106" s="43"/>
    </row>
    <row r="107" spans="1:26" x14ac:dyDescent="0.25">
      <c r="D107" s="7"/>
      <c r="E107" s="145"/>
      <c r="F107" s="48"/>
      <c r="G107" s="27"/>
      <c r="H107" s="53"/>
      <c r="I107" s="152"/>
      <c r="M107" s="137"/>
      <c r="N107" s="137"/>
      <c r="O107" s="137"/>
      <c r="P107" s="137"/>
      <c r="Q107" s="137"/>
      <c r="R107" s="137"/>
      <c r="S107" s="137"/>
      <c r="T107" s="151"/>
      <c r="U107" s="43"/>
      <c r="V107" s="43"/>
      <c r="W107" s="43"/>
      <c r="X107" s="43"/>
      <c r="Y107" s="43"/>
      <c r="Z107" s="43"/>
    </row>
    <row r="108" spans="1:26" x14ac:dyDescent="0.25">
      <c r="A108" s="2" t="s">
        <v>55</v>
      </c>
      <c r="B108" s="2"/>
      <c r="C108" s="2"/>
      <c r="D108" s="39">
        <f>+D110</f>
        <v>16364756</v>
      </c>
      <c r="E108" s="144">
        <f>E110+E119</f>
        <v>16628838</v>
      </c>
      <c r="F108" s="65"/>
      <c r="G108" s="83">
        <f>+G110</f>
        <v>16364756</v>
      </c>
      <c r="H108" s="66"/>
      <c r="I108" s="65"/>
      <c r="M108" s="66"/>
      <c r="N108" s="66"/>
      <c r="O108" s="66"/>
      <c r="P108" s="66"/>
      <c r="Q108" s="66"/>
      <c r="R108" s="66"/>
      <c r="S108" s="66"/>
      <c r="T108" s="153"/>
      <c r="U108" s="43"/>
      <c r="V108" s="43"/>
      <c r="W108" s="43"/>
      <c r="X108" s="43"/>
      <c r="Y108" s="43"/>
      <c r="Z108" s="43"/>
    </row>
    <row r="109" spans="1:26" hidden="1" x14ac:dyDescent="0.25">
      <c r="D109" s="7"/>
      <c r="E109" s="145"/>
      <c r="F109" s="48"/>
      <c r="G109" s="27"/>
      <c r="H109" s="53"/>
      <c r="I109" s="152"/>
      <c r="M109" s="137"/>
      <c r="N109" s="137"/>
      <c r="O109" s="137"/>
      <c r="P109" s="137"/>
      <c r="Q109" s="137"/>
      <c r="R109" s="137"/>
      <c r="S109" s="137"/>
      <c r="T109" s="151"/>
      <c r="U109" s="43"/>
      <c r="V109" s="43"/>
      <c r="W109" s="43"/>
      <c r="X109" s="43"/>
      <c r="Y109" s="43"/>
      <c r="Z109" s="43"/>
    </row>
    <row r="110" spans="1:26" hidden="1" x14ac:dyDescent="0.25">
      <c r="B110" s="14" t="s">
        <v>54</v>
      </c>
      <c r="C110" s="14"/>
      <c r="D110" s="16">
        <f>'3 Cascade Int'!D45</f>
        <v>16364756</v>
      </c>
      <c r="E110" s="146">
        <f>'3 Cascade Int'!E45</f>
        <v>16628838</v>
      </c>
      <c r="F110" s="78"/>
      <c r="G110" s="79">
        <f>D110</f>
        <v>16364756</v>
      </c>
      <c r="H110" s="191"/>
      <c r="I110" s="47"/>
      <c r="M110" s="53"/>
      <c r="N110" s="53"/>
      <c r="O110" s="53"/>
      <c r="P110" s="53"/>
      <c r="Q110" s="53"/>
      <c r="R110" s="53"/>
      <c r="S110" s="53"/>
      <c r="T110" s="151"/>
      <c r="U110" s="43"/>
      <c r="V110" s="43"/>
      <c r="W110" s="43"/>
      <c r="X110" s="43"/>
      <c r="Y110" s="43"/>
      <c r="Z110" s="43"/>
    </row>
    <row r="111" spans="1:26" hidden="1" x14ac:dyDescent="0.25">
      <c r="B111" s="14"/>
      <c r="C111" s="14" t="s">
        <v>20</v>
      </c>
      <c r="D111" s="16">
        <f>'3 Cascade Int'!D47</f>
        <v>1072179</v>
      </c>
      <c r="E111" s="146">
        <f>'3 Cascade Int'!E47</f>
        <v>1336261</v>
      </c>
      <c r="F111" s="78"/>
      <c r="G111" s="79"/>
      <c r="H111" s="191"/>
      <c r="I111" s="47"/>
      <c r="M111" s="53"/>
      <c r="N111" s="53"/>
      <c r="O111" s="53"/>
      <c r="P111" s="53"/>
      <c r="Q111" s="53"/>
      <c r="R111" s="53"/>
      <c r="S111" s="53"/>
      <c r="T111" s="151"/>
      <c r="U111" s="43"/>
      <c r="V111" s="43"/>
      <c r="W111" s="43"/>
      <c r="X111" s="43"/>
      <c r="Y111" s="43"/>
      <c r="Z111" s="43"/>
    </row>
    <row r="112" spans="1:26" hidden="1" x14ac:dyDescent="0.25">
      <c r="B112" s="14"/>
      <c r="C112" s="14" t="s">
        <v>21</v>
      </c>
      <c r="D112" s="16">
        <f>'3 Cascade Int'!D48</f>
        <v>269638</v>
      </c>
      <c r="E112" s="146">
        <f>'3 Cascade Int'!E48</f>
        <v>269638</v>
      </c>
      <c r="F112" s="78"/>
      <c r="G112" s="79"/>
      <c r="H112" s="191"/>
      <c r="I112" s="47"/>
      <c r="M112" s="53"/>
      <c r="N112" s="53"/>
      <c r="O112" s="53"/>
      <c r="P112" s="53"/>
      <c r="Q112" s="53"/>
      <c r="R112" s="53"/>
      <c r="S112" s="53"/>
      <c r="T112" s="151"/>
      <c r="U112" s="43"/>
      <c r="V112" s="43"/>
      <c r="W112" s="43"/>
      <c r="X112" s="43"/>
      <c r="Y112" s="43"/>
      <c r="Z112" s="43"/>
    </row>
    <row r="113" spans="1:26" hidden="1" x14ac:dyDescent="0.25">
      <c r="B113" s="14"/>
      <c r="C113" s="14" t="s">
        <v>22</v>
      </c>
      <c r="D113" s="16">
        <f>'3 Cascade Int'!D49</f>
        <v>0</v>
      </c>
      <c r="E113" s="146">
        <f>'3 Cascade Int'!E49</f>
        <v>0</v>
      </c>
      <c r="F113" s="78"/>
      <c r="G113" s="79"/>
      <c r="H113" s="191"/>
      <c r="I113" s="47"/>
      <c r="M113" s="53"/>
      <c r="N113" s="53"/>
      <c r="O113" s="53"/>
      <c r="P113" s="53"/>
      <c r="Q113" s="53"/>
      <c r="R113" s="53"/>
      <c r="S113" s="53"/>
      <c r="T113" s="151"/>
      <c r="U113" s="43"/>
      <c r="V113" s="43"/>
      <c r="W113" s="43"/>
      <c r="X113" s="43"/>
      <c r="Y113" s="43"/>
      <c r="Z113" s="43"/>
    </row>
    <row r="114" spans="1:26" hidden="1" x14ac:dyDescent="0.25">
      <c r="B114" s="14"/>
      <c r="C114" s="14" t="s">
        <v>37</v>
      </c>
      <c r="D114" s="16">
        <f>'3 Cascade Int'!D50</f>
        <v>1421912</v>
      </c>
      <c r="E114" s="146">
        <f>'3 Cascade Int'!E50</f>
        <v>1421912</v>
      </c>
      <c r="F114" s="78"/>
      <c r="G114" s="79"/>
      <c r="H114" s="191"/>
      <c r="I114" s="47"/>
      <c r="M114" s="53"/>
      <c r="N114" s="53"/>
      <c r="O114" s="53"/>
      <c r="P114" s="53"/>
      <c r="Q114" s="53"/>
      <c r="R114" s="53"/>
      <c r="S114" s="53"/>
      <c r="T114" s="151"/>
      <c r="U114" s="43"/>
      <c r="V114" s="43"/>
      <c r="W114" s="43"/>
      <c r="X114" s="43"/>
      <c r="Y114" s="43"/>
      <c r="Z114" s="43"/>
    </row>
    <row r="115" spans="1:26" hidden="1" x14ac:dyDescent="0.25">
      <c r="B115" s="14"/>
      <c r="C115" s="14" t="s">
        <v>23</v>
      </c>
      <c r="D115" s="16">
        <f>'3 Cascade Int'!D51</f>
        <v>12179115</v>
      </c>
      <c r="E115" s="146">
        <f>'3 Cascade Int'!E51</f>
        <v>12179115</v>
      </c>
      <c r="F115" s="78"/>
      <c r="G115" s="79"/>
      <c r="H115" s="191"/>
      <c r="I115" s="47"/>
      <c r="M115" s="53"/>
      <c r="N115" s="53"/>
      <c r="O115" s="53"/>
      <c r="P115" s="53"/>
      <c r="Q115" s="53"/>
      <c r="R115" s="53"/>
      <c r="S115" s="53"/>
      <c r="T115" s="151"/>
      <c r="U115" s="43"/>
      <c r="V115" s="43"/>
      <c r="W115" s="43"/>
      <c r="X115" s="43"/>
      <c r="Y115" s="43"/>
      <c r="Z115" s="43"/>
    </row>
    <row r="116" spans="1:26" hidden="1" x14ac:dyDescent="0.25">
      <c r="B116" s="14"/>
      <c r="C116" s="14" t="s">
        <v>39</v>
      </c>
      <c r="D116" s="16">
        <f>'3 Cascade Int'!D52</f>
        <v>1421912</v>
      </c>
      <c r="E116" s="146">
        <f>'3 Cascade Int'!E52</f>
        <v>1421912</v>
      </c>
      <c r="F116" s="78"/>
      <c r="G116" s="79"/>
      <c r="H116" s="191"/>
      <c r="I116" s="47"/>
      <c r="M116" s="53"/>
      <c r="N116" s="53"/>
      <c r="O116" s="53"/>
      <c r="P116" s="53"/>
      <c r="Q116" s="53"/>
      <c r="R116" s="53"/>
      <c r="S116" s="53"/>
      <c r="T116" s="151"/>
      <c r="U116" s="43"/>
      <c r="V116" s="43"/>
      <c r="W116" s="43"/>
      <c r="X116" s="43"/>
      <c r="Y116" s="43"/>
      <c r="Z116" s="43"/>
    </row>
    <row r="117" spans="1:26" hidden="1" x14ac:dyDescent="0.25">
      <c r="B117" s="190"/>
      <c r="C117" s="190"/>
      <c r="D117" s="193"/>
      <c r="E117" s="194"/>
      <c r="F117" s="195"/>
      <c r="G117" s="196"/>
      <c r="H117" s="191"/>
      <c r="I117" s="47"/>
      <c r="M117" s="53"/>
      <c r="N117" s="53"/>
      <c r="O117" s="53"/>
      <c r="P117" s="53"/>
      <c r="Q117" s="53"/>
      <c r="R117" s="53"/>
      <c r="S117" s="53"/>
      <c r="T117" s="151"/>
      <c r="U117" s="43"/>
      <c r="V117" s="43"/>
      <c r="W117" s="43"/>
      <c r="X117" s="43"/>
      <c r="Y117" s="43"/>
      <c r="Z117" s="43"/>
    </row>
    <row r="118" spans="1:26" hidden="1" x14ac:dyDescent="0.25">
      <c r="B118" s="190"/>
      <c r="C118" s="190"/>
      <c r="D118" s="193"/>
      <c r="E118" s="194"/>
      <c r="F118" s="195"/>
      <c r="G118" s="196"/>
      <c r="H118" s="191"/>
      <c r="I118" s="152"/>
      <c r="M118" s="137"/>
      <c r="N118" s="137"/>
      <c r="O118" s="137"/>
      <c r="P118" s="137"/>
      <c r="Q118" s="137"/>
      <c r="R118" s="137"/>
      <c r="S118" s="137"/>
      <c r="T118" s="151"/>
      <c r="U118" s="43"/>
      <c r="V118" s="43"/>
      <c r="W118" s="43"/>
      <c r="X118" s="43"/>
      <c r="Y118" s="43"/>
      <c r="Z118" s="43"/>
    </row>
    <row r="119" spans="1:26" hidden="1" x14ac:dyDescent="0.25">
      <c r="B119" s="190"/>
      <c r="C119" s="190"/>
      <c r="D119" s="193"/>
      <c r="E119" s="194"/>
      <c r="F119" s="195"/>
      <c r="G119" s="196"/>
      <c r="H119" s="191"/>
      <c r="I119" s="47"/>
      <c r="M119" s="53"/>
      <c r="N119" s="53"/>
      <c r="O119" s="53"/>
      <c r="P119" s="53"/>
      <c r="Q119" s="53"/>
      <c r="R119" s="53"/>
      <c r="S119" s="53"/>
      <c r="T119" s="151"/>
      <c r="U119" s="43"/>
      <c r="V119" s="43"/>
      <c r="W119" s="43"/>
      <c r="X119" s="43"/>
      <c r="Y119" s="43"/>
      <c r="Z119" s="43"/>
    </row>
    <row r="120" spans="1:26" hidden="1" x14ac:dyDescent="0.25">
      <c r="C120" t="s">
        <v>20</v>
      </c>
      <c r="D120" s="16">
        <f>'3 Cascade Int'!D57</f>
        <v>0</v>
      </c>
      <c r="E120" s="146">
        <f>'3 Cascade Int'!E57</f>
        <v>502992</v>
      </c>
      <c r="F120" s="78"/>
      <c r="G120" s="79"/>
      <c r="H120" s="53"/>
      <c r="I120" s="47"/>
      <c r="M120" s="53"/>
      <c r="N120" s="53"/>
      <c r="O120" s="53"/>
      <c r="P120" s="53"/>
      <c r="Q120" s="53"/>
      <c r="R120" s="53"/>
      <c r="S120" s="53"/>
      <c r="T120" s="151"/>
      <c r="U120" s="43"/>
      <c r="V120" s="43"/>
      <c r="W120" s="43"/>
      <c r="X120" s="43"/>
      <c r="Y120" s="43"/>
      <c r="Z120" s="43"/>
    </row>
    <row r="121" spans="1:26" hidden="1" x14ac:dyDescent="0.25">
      <c r="C121" t="s">
        <v>21</v>
      </c>
      <c r="D121" s="16">
        <f>'3 Cascade Int'!D58</f>
        <v>0</v>
      </c>
      <c r="E121" s="146">
        <f>'3 Cascade Int'!E58</f>
        <v>0</v>
      </c>
      <c r="F121" s="78"/>
      <c r="G121" s="79"/>
      <c r="H121" s="53"/>
      <c r="I121" s="47"/>
      <c r="M121" s="53"/>
      <c r="N121" s="53"/>
      <c r="O121" s="53"/>
      <c r="P121" s="53"/>
      <c r="Q121" s="53"/>
      <c r="R121" s="53"/>
      <c r="S121" s="53"/>
      <c r="T121" s="151"/>
      <c r="U121" s="43"/>
      <c r="V121" s="43"/>
      <c r="W121" s="43"/>
      <c r="X121" s="43"/>
      <c r="Y121" s="43"/>
      <c r="Z121" s="43"/>
    </row>
    <row r="122" spans="1:26" hidden="1" x14ac:dyDescent="0.25">
      <c r="C122" t="s">
        <v>22</v>
      </c>
      <c r="D122" s="16">
        <f>'3 Cascade Int'!D59</f>
        <v>0</v>
      </c>
      <c r="E122" s="146">
        <f>'3 Cascade Int'!E59</f>
        <v>110304</v>
      </c>
      <c r="F122" s="78"/>
      <c r="G122" s="79"/>
      <c r="H122" s="53"/>
      <c r="I122" s="47"/>
      <c r="M122" s="53"/>
      <c r="N122" s="53"/>
      <c r="O122" s="53"/>
      <c r="P122" s="53"/>
      <c r="Q122" s="53"/>
      <c r="R122" s="53"/>
      <c r="S122" s="53"/>
      <c r="T122" s="151"/>
      <c r="U122" s="43"/>
      <c r="V122" s="43"/>
      <c r="W122" s="43"/>
      <c r="X122" s="43"/>
      <c r="Y122" s="43"/>
      <c r="Z122" s="43"/>
    </row>
    <row r="123" spans="1:26" hidden="1" x14ac:dyDescent="0.25">
      <c r="C123" t="s">
        <v>37</v>
      </c>
      <c r="D123" s="16">
        <f>'3 Cascade Int'!D60</f>
        <v>0</v>
      </c>
      <c r="E123" s="146">
        <f>'3 Cascade Int'!E60</f>
        <v>0</v>
      </c>
      <c r="F123" s="78"/>
      <c r="G123" s="79"/>
      <c r="H123" s="53"/>
      <c r="I123" s="47"/>
      <c r="M123" s="53"/>
      <c r="N123" s="53"/>
      <c r="O123" s="53"/>
      <c r="P123" s="53"/>
      <c r="Q123" s="53"/>
      <c r="R123" s="53"/>
      <c r="S123" s="53"/>
      <c r="T123" s="151"/>
      <c r="U123" s="43"/>
      <c r="V123" s="43"/>
      <c r="W123" s="43"/>
      <c r="X123" s="43"/>
      <c r="Y123" s="43"/>
      <c r="Z123" s="43"/>
    </row>
    <row r="124" spans="1:26" hidden="1" x14ac:dyDescent="0.25">
      <c r="C124" t="s">
        <v>23</v>
      </c>
      <c r="D124" s="16">
        <f>'3 Cascade Int'!D61</f>
        <v>0</v>
      </c>
      <c r="E124" s="146">
        <f>'3 Cascade Int'!E61</f>
        <v>0</v>
      </c>
      <c r="F124" s="78"/>
      <c r="G124" s="79"/>
      <c r="H124" s="53"/>
      <c r="I124" s="47"/>
      <c r="M124" s="53"/>
      <c r="N124" s="53"/>
      <c r="O124" s="53"/>
      <c r="P124" s="53"/>
      <c r="Q124" s="53"/>
      <c r="R124" s="53"/>
      <c r="S124" s="53"/>
      <c r="T124" s="151"/>
      <c r="U124" s="43"/>
      <c r="V124" s="43"/>
      <c r="W124" s="43"/>
      <c r="X124" s="43"/>
      <c r="Y124" s="43"/>
      <c r="Z124" s="43"/>
    </row>
    <row r="125" spans="1:26" hidden="1" x14ac:dyDescent="0.25">
      <c r="C125" t="s">
        <v>39</v>
      </c>
      <c r="D125" s="16">
        <f>'3 Cascade Int'!D62</f>
        <v>0</v>
      </c>
      <c r="E125" s="146">
        <f>'3 Cascade Int'!E62</f>
        <v>0</v>
      </c>
      <c r="F125" s="78"/>
      <c r="G125" s="79"/>
      <c r="H125" s="53"/>
      <c r="I125" s="47"/>
      <c r="M125" s="53"/>
      <c r="N125" s="53"/>
      <c r="O125" s="53"/>
      <c r="P125" s="53"/>
      <c r="Q125" s="53"/>
      <c r="R125" s="53"/>
      <c r="S125" s="53"/>
      <c r="T125" s="151"/>
      <c r="U125" s="43"/>
      <c r="V125" s="43"/>
      <c r="W125" s="43"/>
      <c r="X125" s="43"/>
      <c r="Y125" s="43"/>
      <c r="Z125" s="43"/>
    </row>
    <row r="126" spans="1:26" hidden="1" x14ac:dyDescent="0.25">
      <c r="D126" s="16"/>
      <c r="E126" s="146"/>
      <c r="F126" s="78"/>
      <c r="G126" s="79"/>
      <c r="H126" s="53"/>
      <c r="I126" s="47"/>
      <c r="M126" s="53"/>
      <c r="N126" s="53"/>
      <c r="O126" s="53"/>
      <c r="P126" s="53"/>
      <c r="Q126" s="53"/>
      <c r="R126" s="53"/>
      <c r="S126" s="53"/>
      <c r="T126" s="151"/>
      <c r="U126" s="43"/>
      <c r="V126" s="43"/>
      <c r="W126" s="43"/>
      <c r="X126" s="43"/>
      <c r="Y126" s="43"/>
      <c r="Z126" s="43"/>
    </row>
    <row r="127" spans="1:26" x14ac:dyDescent="0.25">
      <c r="D127" s="16"/>
      <c r="E127" s="146"/>
      <c r="F127" s="78"/>
      <c r="G127" s="79"/>
      <c r="H127" s="53"/>
      <c r="I127" s="152"/>
      <c r="M127" s="137"/>
      <c r="N127" s="137"/>
      <c r="O127" s="137"/>
      <c r="P127" s="137"/>
      <c r="Q127" s="137"/>
      <c r="R127" s="137"/>
      <c r="S127" s="137"/>
      <c r="T127" s="151"/>
      <c r="U127" s="43"/>
      <c r="V127" s="43"/>
      <c r="W127" s="43"/>
      <c r="X127" s="43"/>
      <c r="Y127" s="43"/>
      <c r="Z127" s="43"/>
    </row>
    <row r="128" spans="1:26" x14ac:dyDescent="0.25">
      <c r="A128" s="2" t="s">
        <v>295</v>
      </c>
      <c r="B128" s="2"/>
      <c r="C128" s="2"/>
      <c r="D128" s="40">
        <f>'4 Sunset Highway'!D43</f>
        <v>55857089</v>
      </c>
      <c r="E128" s="121">
        <f>'4 Sunset Highway'!E43</f>
        <v>66122010</v>
      </c>
      <c r="F128" s="140"/>
      <c r="G128" s="79">
        <f>D128</f>
        <v>55857089</v>
      </c>
      <c r="H128" s="138"/>
      <c r="I128" s="154"/>
      <c r="M128" s="138"/>
      <c r="N128" s="138"/>
      <c r="O128" s="138"/>
      <c r="P128" s="138"/>
      <c r="Q128" s="138"/>
      <c r="R128" s="138"/>
      <c r="S128" s="138"/>
      <c r="T128" s="153"/>
      <c r="U128" s="43"/>
      <c r="V128" s="43"/>
      <c r="W128" s="43"/>
      <c r="X128" s="43"/>
      <c r="Y128" s="43"/>
      <c r="Z128" s="43"/>
    </row>
    <row r="129" spans="1:26" hidden="1" x14ac:dyDescent="0.25">
      <c r="C129" t="s">
        <v>20</v>
      </c>
      <c r="D129" s="16">
        <f>'4 Sunset Highway'!D45</f>
        <v>6357087</v>
      </c>
      <c r="E129" s="16"/>
      <c r="F129" s="78"/>
      <c r="G129" s="79"/>
      <c r="H129" s="53"/>
      <c r="I129" s="47"/>
      <c r="M129" s="53"/>
      <c r="N129" s="53"/>
      <c r="O129" s="53"/>
      <c r="P129" s="53"/>
      <c r="Q129" s="53"/>
      <c r="R129" s="53"/>
      <c r="S129" s="53"/>
      <c r="T129" s="151"/>
      <c r="U129" s="43"/>
      <c r="V129" s="43"/>
      <c r="W129" s="43"/>
      <c r="X129" s="43"/>
      <c r="Y129" s="43"/>
      <c r="Z129" s="43"/>
    </row>
    <row r="130" spans="1:26" hidden="1" x14ac:dyDescent="0.25">
      <c r="C130" t="s">
        <v>21</v>
      </c>
      <c r="D130" s="16">
        <f>'4 Sunset Highway'!D46</f>
        <v>0</v>
      </c>
      <c r="E130" s="16"/>
      <c r="F130" s="78"/>
      <c r="G130" s="79"/>
      <c r="H130" s="53"/>
      <c r="I130" s="47"/>
      <c r="M130" s="53"/>
      <c r="N130" s="53"/>
      <c r="O130" s="53"/>
      <c r="P130" s="53"/>
      <c r="Q130" s="53"/>
      <c r="R130" s="53"/>
      <c r="S130" s="53"/>
      <c r="T130" s="151"/>
      <c r="U130" s="43"/>
      <c r="V130" s="43"/>
      <c r="W130" s="43"/>
      <c r="X130" s="43"/>
      <c r="Y130" s="43"/>
      <c r="Z130" s="43"/>
    </row>
    <row r="131" spans="1:26" hidden="1" x14ac:dyDescent="0.25">
      <c r="C131" t="s">
        <v>22</v>
      </c>
      <c r="D131" s="16">
        <f>'4 Sunset Highway'!D47</f>
        <v>18500002</v>
      </c>
      <c r="E131" s="16"/>
      <c r="F131" s="78"/>
      <c r="G131" s="79"/>
      <c r="H131" s="53"/>
      <c r="I131" s="47"/>
      <c r="M131" s="53"/>
      <c r="N131" s="53"/>
      <c r="O131" s="53"/>
      <c r="P131" s="53"/>
      <c r="Q131" s="53"/>
      <c r="R131" s="53"/>
      <c r="S131" s="53"/>
      <c r="T131" s="151"/>
      <c r="U131" s="43"/>
      <c r="V131" s="43"/>
      <c r="W131" s="43"/>
      <c r="X131" s="43"/>
      <c r="Y131" s="43"/>
      <c r="Z131" s="43"/>
    </row>
    <row r="132" spans="1:26" hidden="1" x14ac:dyDescent="0.25">
      <c r="C132" t="s">
        <v>37</v>
      </c>
      <c r="D132" s="16">
        <f>'4 Sunset Highway'!D48</f>
        <v>4650000</v>
      </c>
      <c r="E132" s="16"/>
      <c r="F132" s="78"/>
      <c r="G132" s="79"/>
      <c r="H132" s="53"/>
      <c r="I132" s="47"/>
      <c r="M132" s="53"/>
      <c r="N132" s="53"/>
      <c r="O132" s="53"/>
      <c r="P132" s="53"/>
      <c r="Q132" s="53"/>
      <c r="R132" s="53"/>
      <c r="S132" s="53"/>
      <c r="T132" s="151"/>
      <c r="U132" s="43"/>
      <c r="V132" s="43"/>
      <c r="W132" s="43"/>
      <c r="X132" s="43"/>
      <c r="Y132" s="43"/>
      <c r="Z132" s="43"/>
    </row>
    <row r="133" spans="1:26" hidden="1" x14ac:dyDescent="0.25">
      <c r="C133" t="s">
        <v>23</v>
      </c>
      <c r="D133" s="16">
        <f>'4 Sunset Highway'!D49</f>
        <v>23250000</v>
      </c>
      <c r="E133" s="16"/>
      <c r="F133" s="78"/>
      <c r="G133" s="79"/>
      <c r="H133" s="53"/>
      <c r="I133" s="47"/>
      <c r="M133" s="53"/>
      <c r="N133" s="53"/>
      <c r="O133" s="53"/>
      <c r="P133" s="53"/>
      <c r="Q133" s="53"/>
      <c r="R133" s="53"/>
      <c r="S133" s="53"/>
      <c r="T133" s="151"/>
      <c r="U133" s="43"/>
      <c r="V133" s="43"/>
      <c r="W133" s="43"/>
      <c r="X133" s="43"/>
      <c r="Y133" s="43"/>
      <c r="Z133" s="43"/>
    </row>
    <row r="134" spans="1:26" hidden="1" x14ac:dyDescent="0.25">
      <c r="C134" t="s">
        <v>39</v>
      </c>
      <c r="D134" s="16">
        <f>'4 Sunset Highway'!D50</f>
        <v>3100000</v>
      </c>
      <c r="E134" s="16"/>
      <c r="F134" s="78"/>
      <c r="G134" s="79"/>
      <c r="H134" s="53"/>
      <c r="I134" s="47"/>
      <c r="M134" s="53"/>
      <c r="N134" s="53"/>
      <c r="O134" s="53"/>
      <c r="P134" s="53"/>
      <c r="Q134" s="53"/>
      <c r="R134" s="53"/>
      <c r="S134" s="53"/>
      <c r="T134" s="151"/>
      <c r="U134" s="43"/>
      <c r="V134" s="43"/>
      <c r="W134" s="43"/>
      <c r="X134" s="43"/>
      <c r="Y134" s="43"/>
      <c r="Z134" s="43"/>
    </row>
    <row r="135" spans="1:26" x14ac:dyDescent="0.25">
      <c r="D135" s="17"/>
      <c r="E135" s="17"/>
      <c r="F135" s="78"/>
      <c r="G135" s="79"/>
      <c r="H135" s="137"/>
      <c r="I135" s="152"/>
      <c r="M135" s="137"/>
      <c r="N135" s="137"/>
      <c r="O135" s="137"/>
      <c r="P135" s="137"/>
      <c r="Q135" s="137"/>
      <c r="R135" s="137"/>
      <c r="S135" s="137"/>
      <c r="T135" s="151"/>
      <c r="U135" s="43"/>
      <c r="V135" s="43"/>
      <c r="W135" s="43"/>
      <c r="X135" s="43"/>
      <c r="Y135" s="43"/>
      <c r="Z135" s="43"/>
    </row>
    <row r="136" spans="1:26" ht="15.75" thickBot="1" x14ac:dyDescent="0.3">
      <c r="A136" s="89" t="s">
        <v>31</v>
      </c>
      <c r="B136" s="89"/>
      <c r="C136" s="89"/>
      <c r="D136" s="84">
        <f>D128+D108+D80+D50</f>
        <v>262836098</v>
      </c>
      <c r="E136" s="142">
        <f>E128+E108+E80+E50</f>
        <v>285651776.85000002</v>
      </c>
      <c r="F136" s="135">
        <f>SUM(F50:F135)</f>
        <v>83655201</v>
      </c>
      <c r="G136" s="84">
        <f>SUM(G50:G135)</f>
        <v>92933697</v>
      </c>
      <c r="H136" s="84">
        <f>SUM(H50:H135)</f>
        <v>102611956</v>
      </c>
      <c r="I136" s="78"/>
      <c r="M136" s="79"/>
      <c r="N136" s="79"/>
      <c r="O136" s="79"/>
      <c r="P136" s="79"/>
      <c r="Q136" s="79"/>
      <c r="R136" s="79"/>
      <c r="S136" s="79"/>
      <c r="T136" s="151"/>
      <c r="U136" s="43"/>
      <c r="V136" s="43"/>
      <c r="W136" s="43"/>
      <c r="X136" s="43"/>
      <c r="Y136" s="43"/>
      <c r="Z136" s="43"/>
    </row>
    <row r="137" spans="1:26" ht="15.75" thickTop="1" x14ac:dyDescent="0.25">
      <c r="A137" t="s">
        <v>32</v>
      </c>
      <c r="D137" s="17"/>
      <c r="E137" s="17"/>
      <c r="F137" s="78"/>
      <c r="G137" s="79"/>
      <c r="H137" s="79"/>
      <c r="I137" s="78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151"/>
      <c r="U137" s="43"/>
      <c r="V137" s="43"/>
      <c r="W137" s="43"/>
      <c r="X137" s="43"/>
      <c r="Y137" s="43"/>
      <c r="Z137" s="43"/>
    </row>
    <row r="138" spans="1:26" x14ac:dyDescent="0.25">
      <c r="D138" s="17"/>
      <c r="E138" s="17"/>
      <c r="F138" s="32"/>
      <c r="G138" s="32"/>
      <c r="I138" s="26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41" spans="1:26" ht="15.75" x14ac:dyDescent="0.25">
      <c r="K141" s="155" t="s">
        <v>119</v>
      </c>
      <c r="L141" s="155" t="s">
        <v>123</v>
      </c>
      <c r="M141" s="155" t="s">
        <v>125</v>
      </c>
      <c r="N141" s="155" t="s">
        <v>122</v>
      </c>
      <c r="O141" s="2"/>
    </row>
    <row r="142" spans="1:26" ht="15.75" x14ac:dyDescent="0.25">
      <c r="K142" s="156" t="s">
        <v>124</v>
      </c>
      <c r="L142" s="157" t="s">
        <v>120</v>
      </c>
      <c r="M142" s="158">
        <f>D31+D32</f>
        <v>76997782</v>
      </c>
      <c r="N142" s="156" t="s">
        <v>128</v>
      </c>
    </row>
    <row r="143" spans="1:26" ht="15.75" x14ac:dyDescent="0.25">
      <c r="K143" s="156" t="s">
        <v>126</v>
      </c>
      <c r="L143" s="157" t="s">
        <v>120</v>
      </c>
      <c r="M143" s="158">
        <f>D35</f>
        <v>0</v>
      </c>
      <c r="N143" s="156" t="s">
        <v>127</v>
      </c>
    </row>
    <row r="144" spans="1:26" ht="15.75" x14ac:dyDescent="0.25">
      <c r="K144" s="156" t="s">
        <v>12</v>
      </c>
      <c r="L144" s="157" t="s">
        <v>120</v>
      </c>
      <c r="M144" s="159">
        <f>D23</f>
        <v>1000000</v>
      </c>
      <c r="N144" s="156" t="s">
        <v>134</v>
      </c>
    </row>
    <row r="145" spans="4:14" ht="15.75" x14ac:dyDescent="0.25">
      <c r="K145" s="156" t="s">
        <v>6</v>
      </c>
      <c r="L145" s="157" t="s">
        <v>120</v>
      </c>
      <c r="M145" s="158">
        <f>D19</f>
        <v>11000000</v>
      </c>
      <c r="N145" s="156" t="s">
        <v>129</v>
      </c>
    </row>
    <row r="146" spans="4:14" ht="15.75" x14ac:dyDescent="0.25">
      <c r="K146" s="156" t="s">
        <v>176</v>
      </c>
      <c r="L146" s="157" t="s">
        <v>120</v>
      </c>
      <c r="M146" s="158">
        <f>D22</f>
        <v>0</v>
      </c>
      <c r="N146" s="156" t="s">
        <v>179</v>
      </c>
    </row>
    <row r="147" spans="4:14" ht="15.75" x14ac:dyDescent="0.25">
      <c r="K147" s="156" t="s">
        <v>175</v>
      </c>
      <c r="L147" s="157" t="s">
        <v>120</v>
      </c>
      <c r="M147" s="158">
        <f>D24</f>
        <v>1500000</v>
      </c>
      <c r="N147" s="156" t="s">
        <v>180</v>
      </c>
    </row>
    <row r="148" spans="4:14" ht="15.75" x14ac:dyDescent="0.25">
      <c r="K148" s="156" t="s">
        <v>131</v>
      </c>
      <c r="L148" s="157" t="s">
        <v>120</v>
      </c>
      <c r="M148" s="158">
        <f>D39</f>
        <v>0</v>
      </c>
      <c r="N148" s="156" t="s">
        <v>132</v>
      </c>
    </row>
    <row r="149" spans="4:14" ht="15.75" x14ac:dyDescent="0.25">
      <c r="K149" s="160" t="s">
        <v>130</v>
      </c>
      <c r="L149" s="161" t="s">
        <v>121</v>
      </c>
      <c r="M149" s="233">
        <f>D30</f>
        <v>31924200</v>
      </c>
      <c r="N149" s="160" t="s">
        <v>133</v>
      </c>
    </row>
    <row r="150" spans="4:14" ht="15.75" x14ac:dyDescent="0.25">
      <c r="K150" s="163" t="s">
        <v>49</v>
      </c>
      <c r="L150" s="157"/>
      <c r="M150" s="164">
        <f>SUM(M142:M149)</f>
        <v>122421982</v>
      </c>
      <c r="N150" s="156"/>
    </row>
    <row r="151" spans="4:14" ht="15.75" x14ac:dyDescent="0.25">
      <c r="D151" s="35"/>
      <c r="E151" s="35"/>
      <c r="K151" s="2"/>
      <c r="M151" s="62">
        <f>+M150-M149</f>
        <v>90497782</v>
      </c>
      <c r="N151" s="156" t="s">
        <v>208</v>
      </c>
    </row>
    <row r="152" spans="4:14" x14ac:dyDescent="0.25">
      <c r="D152" s="36"/>
      <c r="E152" s="36"/>
    </row>
    <row r="153" spans="4:14" x14ac:dyDescent="0.25">
      <c r="D153" s="37"/>
      <c r="E153" s="37"/>
    </row>
    <row r="154" spans="4:14" x14ac:dyDescent="0.25">
      <c r="D154" s="14"/>
      <c r="E154" s="14"/>
    </row>
    <row r="155" spans="4:14" x14ac:dyDescent="0.25">
      <c r="D155" s="14"/>
      <c r="E155" s="14"/>
    </row>
    <row r="156" spans="4:14" x14ac:dyDescent="0.25">
      <c r="D156" s="14"/>
      <c r="E156" s="14"/>
    </row>
    <row r="157" spans="4:14" x14ac:dyDescent="0.25">
      <c r="D157" s="14"/>
      <c r="E157" s="14"/>
    </row>
    <row r="158" spans="4:14" x14ac:dyDescent="0.25">
      <c r="D158" s="14"/>
      <c r="E158" s="14"/>
    </row>
    <row r="159" spans="4:14" x14ac:dyDescent="0.25">
      <c r="D159" s="14"/>
      <c r="E159" s="14"/>
    </row>
    <row r="160" spans="4:14" x14ac:dyDescent="0.25">
      <c r="D160" s="14"/>
      <c r="E160" s="14"/>
    </row>
    <row r="161" spans="4:14" x14ac:dyDescent="0.25">
      <c r="D161" s="14"/>
      <c r="E161" s="14"/>
      <c r="N161" s="38"/>
    </row>
    <row r="162" spans="4:14" x14ac:dyDescent="0.25">
      <c r="D162" s="14"/>
      <c r="E162" s="14"/>
    </row>
    <row r="163" spans="4:14" x14ac:dyDescent="0.25">
      <c r="D163" s="14"/>
      <c r="E163" s="14"/>
    </row>
  </sheetData>
  <pageMargins left="0.7" right="0.7" top="0.75" bottom="0.75" header="0.3" footer="0.3"/>
  <pageSetup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F174"/>
  <sheetViews>
    <sheetView zoomScale="80" zoomScaleNormal="80" workbookViewId="0"/>
  </sheetViews>
  <sheetFormatPr defaultRowHeight="15" x14ac:dyDescent="0.25"/>
  <cols>
    <col min="1" max="1" width="2.7109375" customWidth="1"/>
    <col min="2" max="2" width="5" customWidth="1"/>
    <col min="3" max="3" width="54.42578125" customWidth="1"/>
    <col min="4" max="4" width="15.28515625" customWidth="1"/>
    <col min="5" max="5" width="15.7109375" customWidth="1"/>
    <col min="6" max="6" width="14.85546875" customWidth="1"/>
    <col min="7" max="7" width="18.42578125" customWidth="1"/>
    <col min="8" max="8" width="14.7109375" customWidth="1"/>
    <col min="9" max="9" width="12.85546875" hidden="1" customWidth="1"/>
    <col min="10" max="10" width="29.7109375" hidden="1" customWidth="1"/>
    <col min="11" max="11" width="9.85546875" hidden="1" customWidth="1"/>
    <col min="12" max="12" width="14.7109375" hidden="1" customWidth="1"/>
    <col min="13" max="13" width="58.85546875" hidden="1" customWidth="1"/>
    <col min="14" max="14" width="13.85546875" hidden="1" customWidth="1"/>
    <col min="15" max="15" width="56.5703125" customWidth="1"/>
    <col min="16" max="16" width="17.7109375" customWidth="1"/>
    <col min="17" max="17" width="16.85546875" customWidth="1"/>
    <col min="18" max="18" width="17.85546875" customWidth="1"/>
    <col min="19" max="19" width="19.140625" customWidth="1"/>
    <col min="20" max="20" width="18.28515625" customWidth="1"/>
    <col min="21" max="21" width="1.28515625" customWidth="1"/>
    <col min="22" max="22" width="21.28515625" customWidth="1"/>
    <col min="23" max="23" width="18.42578125" customWidth="1"/>
    <col min="24" max="24" width="15.7109375" customWidth="1"/>
    <col min="25" max="25" width="14.85546875" customWidth="1"/>
    <col min="26" max="26" width="25" customWidth="1"/>
    <col min="27" max="27" width="19" customWidth="1"/>
    <col min="28" max="28" width="10.5703125" bestFit="1" customWidth="1"/>
  </cols>
  <sheetData>
    <row r="1" spans="1:32" ht="18.75" x14ac:dyDescent="0.3">
      <c r="A1" s="31" t="s">
        <v>68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3" spans="1:32" x14ac:dyDescent="0.25">
      <c r="B3" t="s">
        <v>50</v>
      </c>
    </row>
    <row r="4" spans="1:32" x14ac:dyDescent="0.25">
      <c r="C4" t="s">
        <v>102</v>
      </c>
      <c r="D4" s="173">
        <v>44866</v>
      </c>
      <c r="E4" s="1"/>
    </row>
    <row r="5" spans="1:32" x14ac:dyDescent="0.25">
      <c r="C5" t="s">
        <v>103</v>
      </c>
      <c r="D5" s="173">
        <f>D4+18*30</f>
        <v>45406</v>
      </c>
      <c r="E5" s="1"/>
    </row>
    <row r="6" spans="1:32" ht="18.75" x14ac:dyDescent="0.3">
      <c r="C6" t="s">
        <v>104</v>
      </c>
      <c r="D6" s="173">
        <v>44104</v>
      </c>
      <c r="E6" s="1" t="s">
        <v>105</v>
      </c>
      <c r="H6" s="75"/>
    </row>
    <row r="7" spans="1:32" x14ac:dyDescent="0.25">
      <c r="D7" s="1"/>
      <c r="E7" s="1"/>
    </row>
    <row r="8" spans="1:32" x14ac:dyDescent="0.25">
      <c r="C8" s="77" t="s">
        <v>51</v>
      </c>
      <c r="D8" s="38"/>
      <c r="E8" s="43"/>
      <c r="F8" s="70"/>
    </row>
    <row r="9" spans="1:32" x14ac:dyDescent="0.25">
      <c r="C9" t="s">
        <v>60</v>
      </c>
      <c r="D9" s="107"/>
      <c r="E9" s="43"/>
      <c r="F9" s="70"/>
    </row>
    <row r="10" spans="1:32" x14ac:dyDescent="0.25">
      <c r="C10" t="s">
        <v>78</v>
      </c>
      <c r="D10" s="7"/>
      <c r="F10" s="70"/>
    </row>
    <row r="11" spans="1:32" x14ac:dyDescent="0.25">
      <c r="C11" t="s">
        <v>0</v>
      </c>
      <c r="D11" s="21"/>
      <c r="F11" s="70"/>
    </row>
    <row r="12" spans="1:32" x14ac:dyDescent="0.25">
      <c r="C12" t="s">
        <v>59</v>
      </c>
      <c r="D12" s="86"/>
      <c r="F12" s="70"/>
    </row>
    <row r="13" spans="1:32" x14ac:dyDescent="0.25">
      <c r="C13" t="s">
        <v>23</v>
      </c>
      <c r="D13" s="61"/>
      <c r="F13" s="70"/>
    </row>
    <row r="14" spans="1:32" x14ac:dyDescent="0.25">
      <c r="F14" s="70"/>
    </row>
    <row r="15" spans="1:32" x14ac:dyDescent="0.25">
      <c r="F15" s="70"/>
      <c r="H15" s="147"/>
      <c r="I15" s="60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</row>
    <row r="16" spans="1:32" ht="18.75" x14ac:dyDescent="0.3">
      <c r="A16" s="75" t="s">
        <v>1</v>
      </c>
      <c r="B16" s="10"/>
      <c r="C16" s="10"/>
      <c r="D16" s="10"/>
      <c r="E16" s="10"/>
      <c r="F16" s="10"/>
      <c r="G16" s="10"/>
      <c r="H16" s="148"/>
      <c r="I16" s="60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43"/>
      <c r="AA16" s="43"/>
      <c r="AB16" s="43"/>
      <c r="AC16" s="43"/>
      <c r="AD16" s="43"/>
      <c r="AE16" s="43"/>
      <c r="AF16" s="43"/>
    </row>
    <row r="17" spans="1:32" ht="32.65" customHeight="1" x14ac:dyDescent="0.25">
      <c r="A17" s="4"/>
      <c r="B17" s="4"/>
      <c r="C17" s="4" t="s">
        <v>3</v>
      </c>
      <c r="D17" s="20" t="s">
        <v>80</v>
      </c>
      <c r="E17" s="20" t="s">
        <v>79</v>
      </c>
      <c r="F17" s="22"/>
      <c r="G17" s="4"/>
      <c r="H17" s="149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43"/>
      <c r="AB17" s="43"/>
      <c r="AC17" s="43"/>
      <c r="AD17" s="43"/>
      <c r="AE17" s="43"/>
      <c r="AF17" s="43"/>
    </row>
    <row r="18" spans="1:32" x14ac:dyDescent="0.25">
      <c r="A18" s="3" t="s">
        <v>5</v>
      </c>
      <c r="B18" s="3"/>
      <c r="C18" s="3"/>
      <c r="D18" s="5"/>
      <c r="E18" s="107"/>
      <c r="F18" s="111"/>
      <c r="G18" s="93"/>
      <c r="H18" s="2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151"/>
      <c r="AA18" s="43"/>
      <c r="AB18" s="43"/>
      <c r="AC18" s="43"/>
      <c r="AD18" s="43"/>
      <c r="AE18" s="43"/>
      <c r="AF18" s="43"/>
    </row>
    <row r="19" spans="1:32" x14ac:dyDescent="0.25">
      <c r="A19" s="3"/>
      <c r="B19" s="3"/>
      <c r="C19" s="3" t="s">
        <v>6</v>
      </c>
      <c r="D19" s="7">
        <f>'1 North Wenatchee Ave'!D12+'2 Confluence Parkway'!D12+'3 Cascade Int'!D12+'4 Sunset Highway'!D12</f>
        <v>11000000</v>
      </c>
      <c r="E19" s="107">
        <f>'1 North Wenatchee Ave'!E12+'2 Confluence Parkway'!E12+'3 Cascade Int'!E12+'4 Sunset Highway'!E12</f>
        <v>15134981.064750001</v>
      </c>
      <c r="F19" s="96"/>
      <c r="G19" s="53"/>
      <c r="H19" s="47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151"/>
      <c r="AA19" s="43"/>
      <c r="AB19" s="43"/>
      <c r="AC19" s="43"/>
      <c r="AD19" s="43"/>
      <c r="AE19" s="43"/>
      <c r="AF19" s="43"/>
    </row>
    <row r="20" spans="1:32" hidden="1" x14ac:dyDescent="0.25">
      <c r="A20" s="3"/>
      <c r="B20" s="3"/>
      <c r="C20" s="3" t="s">
        <v>7</v>
      </c>
      <c r="D20" s="7">
        <f>'1 North Wenatchee Ave'!D13+'2 Confluence Parkway'!D13+'3 Cascade Int'!D13+'4 Sunset Highway'!D13</f>
        <v>0</v>
      </c>
      <c r="E20" s="107"/>
      <c r="F20" s="96"/>
      <c r="G20" s="53"/>
      <c r="H20" s="47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151"/>
      <c r="AA20" s="43"/>
      <c r="AB20" s="43"/>
      <c r="AC20" s="43"/>
      <c r="AD20" s="43"/>
      <c r="AE20" s="43"/>
      <c r="AF20" s="43"/>
    </row>
    <row r="21" spans="1:32" hidden="1" x14ac:dyDescent="0.25">
      <c r="A21" s="3"/>
      <c r="B21" s="3"/>
      <c r="C21" s="3" t="s">
        <v>16</v>
      </c>
      <c r="D21" s="7">
        <f>'1 North Wenatchee Ave'!D14+'2 Confluence Parkway'!D14+'3 Cascade Int'!D14+'4 Sunset Highway'!D14</f>
        <v>0</v>
      </c>
      <c r="E21" s="107"/>
      <c r="F21" s="96"/>
      <c r="G21" s="53"/>
      <c r="H21" s="47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151"/>
      <c r="AA21" s="43"/>
      <c r="AB21" s="43"/>
      <c r="AC21" s="43"/>
      <c r="AD21" s="43"/>
      <c r="AE21" s="43"/>
      <c r="AF21" s="43"/>
    </row>
    <row r="22" spans="1:32" x14ac:dyDescent="0.25">
      <c r="A22" s="3"/>
      <c r="B22" s="3"/>
      <c r="C22" s="3" t="s">
        <v>8</v>
      </c>
      <c r="D22" s="7">
        <f>'1 North Wenatchee Ave'!D15+'2 Confluence Parkway'!D15+'3 Cascade Int'!D15+'4 Sunset Highway'!D15</f>
        <v>0</v>
      </c>
      <c r="E22" s="107"/>
      <c r="F22" s="96"/>
      <c r="G22" s="53"/>
      <c r="H22" s="47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151"/>
      <c r="AA22" s="43"/>
      <c r="AB22" s="43"/>
      <c r="AC22" s="43"/>
      <c r="AD22" s="43"/>
      <c r="AE22" s="43"/>
      <c r="AF22" s="43"/>
    </row>
    <row r="23" spans="1:32" x14ac:dyDescent="0.25">
      <c r="A23" s="3"/>
      <c r="B23" s="3"/>
      <c r="C23" s="3" t="s">
        <v>12</v>
      </c>
      <c r="D23" s="7">
        <f>'1 North Wenatchee Ave'!D16+'2 Confluence Parkway'!D16+'3 Cascade Int'!D16+'4 Sunset Highway'!D16</f>
        <v>1000000</v>
      </c>
      <c r="E23" s="107">
        <f>'1 North Wenatchee Ave'!E16+'2 Confluence Parkway'!E16+'3 Cascade Int'!E16+'4 Sunset Highway'!E16</f>
        <v>1000000</v>
      </c>
      <c r="F23" s="97"/>
      <c r="G23" s="53"/>
      <c r="H23" s="47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151"/>
      <c r="AA23" s="43"/>
      <c r="AB23" s="43"/>
      <c r="AC23" s="43"/>
      <c r="AD23" s="43"/>
      <c r="AE23" s="43"/>
      <c r="AF23" s="43"/>
    </row>
    <row r="24" spans="1:32" x14ac:dyDescent="0.25">
      <c r="A24" s="3"/>
      <c r="B24" s="3"/>
      <c r="C24" s="3" t="s">
        <v>41</v>
      </c>
      <c r="D24" s="7">
        <f>'1 North Wenatchee Ave'!D17+'2 Confluence Parkway'!D17+'3 Cascade Int'!D17+'4 Sunset Highway'!D17</f>
        <v>1500000</v>
      </c>
      <c r="E24" s="107">
        <f>'1 North Wenatchee Ave'!E17+'2 Confluence Parkway'!E17+'3 Cascade Int'!E17+'4 Sunset Highway'!E17</f>
        <v>3059000</v>
      </c>
      <c r="F24" s="96"/>
      <c r="G24" s="53"/>
      <c r="H24" s="47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151"/>
      <c r="AA24" s="43"/>
      <c r="AB24" s="43"/>
      <c r="AC24" s="43"/>
      <c r="AD24" s="43"/>
      <c r="AE24" s="43"/>
      <c r="AF24" s="43"/>
    </row>
    <row r="25" spans="1:32" x14ac:dyDescent="0.25">
      <c r="A25" s="3"/>
      <c r="B25" s="3"/>
      <c r="C25" s="3"/>
      <c r="D25" s="9"/>
      <c r="E25" s="107"/>
      <c r="F25" s="97"/>
      <c r="G25" s="53"/>
      <c r="H25" s="47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151"/>
      <c r="AA25" s="43"/>
      <c r="AB25" s="43"/>
      <c r="AC25" s="43"/>
      <c r="AD25" s="43"/>
      <c r="AE25" s="43"/>
      <c r="AF25" s="43"/>
    </row>
    <row r="26" spans="1:32" x14ac:dyDescent="0.25">
      <c r="A26" s="3"/>
      <c r="B26" s="3" t="s">
        <v>19</v>
      </c>
      <c r="C26" s="3"/>
      <c r="D26" s="90">
        <f>SUM(D19:D25)</f>
        <v>13500000</v>
      </c>
      <c r="E26" s="107">
        <f>SUM(E19:E25)</f>
        <v>19193981.064750001</v>
      </c>
      <c r="F26" s="96"/>
      <c r="G26" s="132"/>
      <c r="H26" s="47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151"/>
      <c r="AA26" s="43"/>
      <c r="AB26" s="43"/>
      <c r="AC26" s="43"/>
      <c r="AD26" s="43"/>
      <c r="AE26" s="43"/>
      <c r="AF26" s="43"/>
    </row>
    <row r="27" spans="1:32" x14ac:dyDescent="0.25">
      <c r="A27" s="3" t="s">
        <v>4</v>
      </c>
      <c r="B27" s="3"/>
      <c r="C27" s="3"/>
      <c r="D27" s="7"/>
      <c r="E27" s="107"/>
      <c r="F27" s="96"/>
      <c r="G27" s="53"/>
      <c r="H27" s="47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151"/>
      <c r="AA27" s="43"/>
      <c r="AB27" s="43"/>
      <c r="AC27" s="43"/>
      <c r="AD27" s="43"/>
      <c r="AE27" s="43"/>
      <c r="AF27" s="43"/>
    </row>
    <row r="28" spans="1:32" x14ac:dyDescent="0.25">
      <c r="A28" s="3"/>
      <c r="B28" s="3"/>
      <c r="C28" s="3" t="s">
        <v>10</v>
      </c>
      <c r="D28" s="7">
        <f>'1 North Wenatchee Ave'!D21+'2 Confluence Parkway'!D21+'3 Cascade Int'!D21+'4 Sunset Highway'!D21</f>
        <v>0</v>
      </c>
      <c r="E28" s="107">
        <f>'1 North Wenatchee Ave'!E21+'2 Confluence Parkway'!E21+'3 Cascade Int'!E21+'4 Sunset Highway'!E21</f>
        <v>0</v>
      </c>
      <c r="F28" s="96"/>
      <c r="G28" s="53"/>
      <c r="H28" s="47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151"/>
      <c r="AA28" s="43"/>
      <c r="AB28" s="43"/>
      <c r="AC28" s="43"/>
      <c r="AD28" s="43"/>
      <c r="AE28" s="43"/>
      <c r="AF28" s="43"/>
    </row>
    <row r="29" spans="1:32" x14ac:dyDescent="0.25">
      <c r="A29" s="3"/>
      <c r="B29" s="3"/>
      <c r="C29" s="3" t="s">
        <v>9</v>
      </c>
      <c r="D29" s="7">
        <f>'1 North Wenatchee Ave'!D22+'2 Confluence Parkway'!D22+'3 Cascade Int'!D22+'4 Sunset Highway'!D22</f>
        <v>0</v>
      </c>
      <c r="E29" s="107">
        <f>'1 North Wenatchee Ave'!E22+'2 Confluence Parkway'!E22+'3 Cascade Int'!E22+'4 Sunset Highway'!E22</f>
        <v>0</v>
      </c>
      <c r="F29" s="96"/>
      <c r="G29" s="53"/>
      <c r="H29" s="47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151"/>
      <c r="AA29" s="43"/>
      <c r="AB29" s="43"/>
      <c r="AC29" s="43"/>
      <c r="AD29" s="43"/>
      <c r="AE29" s="43"/>
      <c r="AF29" s="43"/>
    </row>
    <row r="30" spans="1:32" x14ac:dyDescent="0.25">
      <c r="A30" s="3"/>
      <c r="B30" s="3"/>
      <c r="C30" s="232" t="s">
        <v>177</v>
      </c>
      <c r="D30" s="7">
        <f>'1 North Wenatchee Ave'!D23+'2 Confluence Parkway'!D23+'3 Cascade Int'!D23+'4 Sunset Highway'!D23</f>
        <v>31924200</v>
      </c>
      <c r="E30" s="206">
        <f>'1 North Wenatchee Ave'!E23+'2 Confluence Parkway'!E23+'3 Cascade Int'!E23+'4 Sunset Highway'!E23</f>
        <v>31924200</v>
      </c>
      <c r="F30" s="96"/>
      <c r="G30" s="53"/>
      <c r="H30" s="47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151"/>
      <c r="AA30" s="43"/>
      <c r="AB30" s="43"/>
      <c r="AC30" s="43"/>
      <c r="AD30" s="43"/>
      <c r="AE30" s="43"/>
      <c r="AF30" s="43"/>
    </row>
    <row r="31" spans="1:32" x14ac:dyDescent="0.25">
      <c r="A31" s="3"/>
      <c r="B31" s="3"/>
      <c r="C31" s="3" t="s">
        <v>35</v>
      </c>
      <c r="D31" s="7">
        <f>'1 North Wenatchee Ave'!D24+'2 Confluence Parkway'!D24+'3 Cascade Int'!D24+'4 Sunset Highway'!D24</f>
        <v>55857089</v>
      </c>
      <c r="E31" s="107">
        <f>'1 North Wenatchee Ave'!E24+'2 Confluence Parkway'!E24+'3 Cascade Int'!E24+'4 Sunset Highway'!E24</f>
        <v>58522010</v>
      </c>
      <c r="F31" s="96"/>
      <c r="G31" s="53"/>
      <c r="H31" s="47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151"/>
      <c r="AA31" s="43"/>
      <c r="AB31" s="43"/>
      <c r="AC31" s="43"/>
      <c r="AD31" s="43"/>
      <c r="AE31" s="43"/>
      <c r="AF31" s="43"/>
    </row>
    <row r="32" spans="1:32" x14ac:dyDescent="0.25">
      <c r="A32" s="3"/>
      <c r="B32" s="3"/>
      <c r="C32" s="3" t="s">
        <v>112</v>
      </c>
      <c r="D32" s="7">
        <f>'1 North Wenatchee Ave'!D25+'2 Confluence Parkway'!D25+'3 Cascade Int'!D25+'4 Sunset Highway'!D25</f>
        <v>21140693</v>
      </c>
      <c r="E32" s="107">
        <f>'1 North Wenatchee Ave'!E25+'2 Confluence Parkway'!E25+'3 Cascade Int'!E25+'4 Sunset Highway'!E25</f>
        <v>23000001</v>
      </c>
      <c r="F32" s="96"/>
      <c r="G32" s="73"/>
      <c r="H32" s="47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151"/>
      <c r="AA32" s="43"/>
      <c r="AB32" s="43"/>
      <c r="AC32" s="43"/>
      <c r="AD32" s="43"/>
      <c r="AE32" s="43"/>
      <c r="AF32" s="43"/>
    </row>
    <row r="33" spans="1:32" hidden="1" x14ac:dyDescent="0.25">
      <c r="A33" s="3"/>
      <c r="B33" s="3"/>
      <c r="C33" s="3" t="s">
        <v>38</v>
      </c>
      <c r="D33" s="7">
        <f>'1 North Wenatchee Ave'!D26+'2 Confluence Parkway'!D26+'3 Cascade Int'!D26+'4 Sunset Highway'!D26</f>
        <v>0</v>
      </c>
      <c r="E33" s="107">
        <f>'1 North Wenatchee Ave'!E26+'2 Confluence Parkway'!E26+'3 Cascade Int'!E26+'4 Sunset Highway'!E26</f>
        <v>138000</v>
      </c>
      <c r="F33" s="96"/>
      <c r="G33" s="53"/>
      <c r="H33" s="47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151"/>
      <c r="AA33" s="43"/>
      <c r="AB33" s="43"/>
      <c r="AC33" s="43"/>
      <c r="AD33" s="43"/>
      <c r="AE33" s="43"/>
      <c r="AF33" s="43"/>
    </row>
    <row r="34" spans="1:32" hidden="1" x14ac:dyDescent="0.25">
      <c r="A34" s="3"/>
      <c r="B34" s="3"/>
      <c r="C34" s="3" t="s">
        <v>11</v>
      </c>
      <c r="D34" s="7">
        <f>'1 North Wenatchee Ave'!D27+'2 Confluence Parkway'!D27+'3 Cascade Int'!D27+'4 Sunset Highway'!D27</f>
        <v>0</v>
      </c>
      <c r="E34" s="107">
        <f>'1 North Wenatchee Ave'!E27+'2 Confluence Parkway'!E27+'3 Cascade Int'!E27+'4 Sunset Highway'!E27</f>
        <v>0</v>
      </c>
      <c r="F34" s="96"/>
      <c r="G34" s="53"/>
      <c r="H34" s="47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151"/>
      <c r="AA34" s="43"/>
      <c r="AB34" s="43"/>
      <c r="AC34" s="43"/>
      <c r="AD34" s="43"/>
      <c r="AE34" s="43"/>
      <c r="AF34" s="43"/>
    </row>
    <row r="35" spans="1:32" ht="13.9" customHeight="1" x14ac:dyDescent="0.25">
      <c r="A35" s="3"/>
      <c r="B35" s="3"/>
      <c r="C35" s="3" t="s">
        <v>74</v>
      </c>
      <c r="D35" s="7">
        <f>'1 North Wenatchee Ave'!D28+'2 Confluence Parkway'!D28+'3 Cascade Int'!D28+'4 Sunset Highway'!D28</f>
        <v>0</v>
      </c>
      <c r="E35" s="115">
        <f>'1 North Wenatchee Ave'!E28+'2 Confluence Parkway'!E28+'3 Cascade Int'!E28+'4 Sunset Highway'!E28</f>
        <v>8613296</v>
      </c>
      <c r="F35" s="96"/>
      <c r="G35" s="53"/>
      <c r="H35" s="47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151"/>
      <c r="AA35" s="43"/>
      <c r="AB35" s="43"/>
      <c r="AC35" s="43"/>
      <c r="AD35" s="43"/>
      <c r="AE35" s="43"/>
      <c r="AF35" s="43"/>
    </row>
    <row r="36" spans="1:32" ht="1.5" customHeight="1" x14ac:dyDescent="0.25">
      <c r="A36" s="3"/>
      <c r="B36" s="3"/>
      <c r="C36" s="3"/>
      <c r="D36" s="9"/>
      <c r="E36" s="107"/>
      <c r="F36" s="97"/>
      <c r="G36" s="73"/>
      <c r="H36" s="47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151"/>
      <c r="AA36" s="43"/>
      <c r="AB36" s="43"/>
      <c r="AC36" s="43"/>
      <c r="AD36" s="43"/>
      <c r="AE36" s="43"/>
      <c r="AF36" s="43"/>
    </row>
    <row r="37" spans="1:32" x14ac:dyDescent="0.25">
      <c r="A37" s="3"/>
      <c r="B37" s="3" t="s">
        <v>17</v>
      </c>
      <c r="C37" s="3"/>
      <c r="D37" s="90">
        <f>SUM(D28:D36)</f>
        <v>108921982</v>
      </c>
      <c r="E37" s="107">
        <f>SUM(E28:E36)</f>
        <v>122197507</v>
      </c>
      <c r="F37" s="96"/>
      <c r="G37" s="53"/>
      <c r="H37" s="47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151"/>
      <c r="AA37" s="43"/>
      <c r="AB37" s="43"/>
      <c r="AC37" s="43"/>
      <c r="AD37" s="43"/>
      <c r="AE37" s="43"/>
      <c r="AF37" s="43"/>
    </row>
    <row r="38" spans="1:32" x14ac:dyDescent="0.25">
      <c r="A38" s="3" t="s">
        <v>13</v>
      </c>
      <c r="B38" s="3"/>
      <c r="C38" s="3"/>
      <c r="D38" s="7"/>
      <c r="E38" s="107"/>
      <c r="F38" s="96"/>
      <c r="G38" s="53"/>
      <c r="H38" s="47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151"/>
      <c r="AA38" s="43"/>
      <c r="AB38" s="43"/>
      <c r="AC38" s="43"/>
      <c r="AD38" s="43"/>
      <c r="AE38" s="43"/>
      <c r="AF38" s="43"/>
    </row>
    <row r="39" spans="1:32" x14ac:dyDescent="0.25">
      <c r="A39" s="3"/>
      <c r="B39" s="3"/>
      <c r="C39" s="3" t="s">
        <v>14</v>
      </c>
      <c r="D39" s="7">
        <f>'1 North Wenatchee Ave'!D32+'2 Confluence Parkway'!D32+'3 Cascade Int'!D32+'4 Sunset Highway'!D32</f>
        <v>0</v>
      </c>
      <c r="E39" s="107">
        <f>'1 North Wenatchee Ave'!E32+'2 Confluence Parkway'!E32+'3 Cascade Int'!E32+'4 Sunset Highway'!E32</f>
        <v>3225386.7852500002</v>
      </c>
      <c r="F39" s="96"/>
      <c r="G39" s="53"/>
      <c r="H39" s="47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151"/>
      <c r="AA39" s="43"/>
      <c r="AB39" s="43"/>
      <c r="AC39" s="43"/>
      <c r="AD39" s="43"/>
      <c r="AE39" s="43"/>
      <c r="AF39" s="43"/>
    </row>
    <row r="40" spans="1:32" x14ac:dyDescent="0.25">
      <c r="A40" s="3"/>
      <c r="B40" s="3"/>
      <c r="C40" s="3" t="s">
        <v>15</v>
      </c>
      <c r="D40" s="7">
        <f>'1 North Wenatchee Ave'!D33+'2 Confluence Parkway'!D33+'3 Cascade Int'!D33+'4 Sunset Highway'!D33</f>
        <v>140414116</v>
      </c>
      <c r="E40" s="115">
        <f>'1 North Wenatchee Ave'!E33+'2 Confluence Parkway'!E33+'3 Cascade Int'!E33+'4 Sunset Highway'!E33</f>
        <v>140414116</v>
      </c>
      <c r="F40" s="97"/>
      <c r="G40" s="73"/>
      <c r="H40" s="47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151"/>
      <c r="AA40" s="43"/>
      <c r="AB40" s="43"/>
      <c r="AC40" s="43"/>
      <c r="AD40" s="43"/>
      <c r="AE40" s="43"/>
      <c r="AF40" s="43"/>
    </row>
    <row r="41" spans="1:32" hidden="1" x14ac:dyDescent="0.25">
      <c r="A41" s="3"/>
      <c r="B41" s="3"/>
      <c r="C41" s="3"/>
      <c r="D41" s="7">
        <f>'1 North Wenatchee Ave'!D34+'2 Confluence Parkway'!D34+'3 Cascade Int'!D34+'4 Sunset Highway'!D34</f>
        <v>0</v>
      </c>
      <c r="E41" s="107"/>
      <c r="F41" s="96"/>
      <c r="G41" s="53"/>
      <c r="H41" s="47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151"/>
      <c r="AA41" s="43"/>
      <c r="AB41" s="43"/>
      <c r="AC41" s="43"/>
      <c r="AD41" s="43"/>
      <c r="AE41" s="43"/>
      <c r="AF41" s="43"/>
    </row>
    <row r="42" spans="1:32" hidden="1" x14ac:dyDescent="0.25">
      <c r="A42" s="3"/>
      <c r="B42" s="3"/>
      <c r="C42" s="3"/>
      <c r="D42" s="9"/>
      <c r="E42" s="107"/>
      <c r="F42" s="97"/>
      <c r="G42" s="73"/>
      <c r="H42" s="47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151"/>
      <c r="AA42" s="43"/>
      <c r="AB42" s="43"/>
      <c r="AC42" s="43"/>
      <c r="AD42" s="43"/>
      <c r="AE42" s="43"/>
      <c r="AF42" s="43"/>
    </row>
    <row r="43" spans="1:32" x14ac:dyDescent="0.25">
      <c r="A43" s="3"/>
      <c r="B43" s="3" t="s">
        <v>18</v>
      </c>
      <c r="C43" s="3"/>
      <c r="D43" s="90">
        <f>SUM(D39:D42)</f>
        <v>140414116</v>
      </c>
      <c r="E43" s="107">
        <f>SUM(E39:E42)</f>
        <v>143639502.78525001</v>
      </c>
      <c r="F43" s="96"/>
      <c r="G43" s="53"/>
      <c r="H43" s="47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151"/>
      <c r="AA43" s="43"/>
      <c r="AB43" s="43"/>
      <c r="AC43" s="43"/>
      <c r="AD43" s="43"/>
      <c r="AE43" s="43"/>
      <c r="AF43" s="43"/>
    </row>
    <row r="44" spans="1:32" x14ac:dyDescent="0.25">
      <c r="A44" s="3"/>
      <c r="B44" s="3"/>
      <c r="C44" s="3"/>
      <c r="D44" s="11"/>
      <c r="E44" s="11"/>
      <c r="F44" s="48"/>
      <c r="G44" s="28"/>
      <c r="H44" s="24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151"/>
      <c r="AA44" s="43"/>
      <c r="AB44" s="43"/>
      <c r="AC44" s="43"/>
      <c r="AD44" s="43"/>
      <c r="AE44" s="43"/>
      <c r="AF44" s="43"/>
    </row>
    <row r="45" spans="1:32" ht="15.75" thickBot="1" x14ac:dyDescent="0.3">
      <c r="A45" s="91" t="s">
        <v>30</v>
      </c>
      <c r="B45" s="3"/>
      <c r="C45" s="3"/>
      <c r="D45" s="11">
        <f>D43+D37+D26</f>
        <v>262836098</v>
      </c>
      <c r="E45" s="11">
        <f>E43+E37+E26</f>
        <v>285030990.85000002</v>
      </c>
      <c r="F45" s="11">
        <f>F43+F37+F26</f>
        <v>0</v>
      </c>
      <c r="G45" s="11">
        <f>G43+G37+G26</f>
        <v>0</v>
      </c>
      <c r="H45" s="48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151"/>
      <c r="AA45" s="43"/>
      <c r="AB45" s="43"/>
      <c r="AC45" s="43"/>
      <c r="AD45" s="43"/>
      <c r="AE45" s="43"/>
      <c r="AF45" s="43"/>
    </row>
    <row r="46" spans="1:32" ht="15.75" thickBot="1" x14ac:dyDescent="0.3">
      <c r="A46" s="3"/>
      <c r="B46" s="3"/>
      <c r="C46" s="3"/>
      <c r="D46" s="11"/>
      <c r="E46" s="11">
        <f>+E45-D45</f>
        <v>22194892.850000024</v>
      </c>
      <c r="F46" s="27"/>
      <c r="G46" s="28"/>
      <c r="H46" s="24"/>
      <c r="I46" s="28"/>
      <c r="J46" s="28"/>
      <c r="K46" s="28"/>
      <c r="L46" s="28"/>
      <c r="M46" s="28"/>
      <c r="N46" s="28"/>
      <c r="O46" s="28"/>
      <c r="P46" s="208" t="s">
        <v>210</v>
      </c>
      <c r="Q46" s="208" t="s">
        <v>15</v>
      </c>
      <c r="R46" s="226" t="s">
        <v>213</v>
      </c>
      <c r="S46" s="208" t="s">
        <v>214</v>
      </c>
      <c r="T46" s="208"/>
      <c r="AB46" s="43"/>
      <c r="AC46" s="43"/>
      <c r="AD46" s="43"/>
      <c r="AE46" s="43"/>
      <c r="AF46" s="43"/>
    </row>
    <row r="47" spans="1:32" ht="19.5" thickBot="1" x14ac:dyDescent="0.35">
      <c r="A47" s="75" t="s">
        <v>115</v>
      </c>
      <c r="B47" s="10"/>
      <c r="C47" s="10"/>
      <c r="D47" s="12"/>
      <c r="E47" s="12"/>
      <c r="F47" s="133"/>
      <c r="G47" s="94"/>
      <c r="H47" s="25"/>
      <c r="I47" s="94"/>
      <c r="J47" s="94"/>
      <c r="K47" s="94"/>
      <c r="L47" s="94"/>
      <c r="M47" s="94"/>
      <c r="N47" s="94"/>
      <c r="O47" s="94"/>
      <c r="P47" s="366" t="s">
        <v>216</v>
      </c>
      <c r="Q47" s="367"/>
      <c r="R47" s="367"/>
      <c r="S47" s="367"/>
      <c r="T47" s="368"/>
      <c r="U47" s="218"/>
      <c r="AB47" s="43"/>
      <c r="AC47" s="43"/>
      <c r="AD47" s="43"/>
      <c r="AE47" s="43"/>
      <c r="AF47" s="43"/>
    </row>
    <row r="48" spans="1:32" x14ac:dyDescent="0.25">
      <c r="A48" s="4"/>
      <c r="B48" s="4"/>
      <c r="C48" s="4" t="s">
        <v>69</v>
      </c>
      <c r="D48" s="20" t="s">
        <v>81</v>
      </c>
      <c r="E48" s="20" t="s">
        <v>79</v>
      </c>
      <c r="F48" s="99" t="s">
        <v>116</v>
      </c>
      <c r="G48" s="4" t="s">
        <v>117</v>
      </c>
      <c r="H48" s="149"/>
      <c r="I48" s="150"/>
      <c r="J48" s="150"/>
      <c r="K48" s="150"/>
      <c r="L48" s="150"/>
      <c r="M48" s="150"/>
      <c r="N48" s="150"/>
      <c r="O48" s="150"/>
      <c r="P48" s="209"/>
      <c r="Q48" s="209"/>
      <c r="R48" s="150"/>
      <c r="S48" s="209"/>
      <c r="T48" s="209"/>
      <c r="U48" s="219"/>
      <c r="AB48" s="43"/>
      <c r="AC48" s="43"/>
      <c r="AD48" s="43"/>
      <c r="AE48" s="43"/>
      <c r="AF48" s="43"/>
    </row>
    <row r="49" spans="1:32" x14ac:dyDescent="0.25">
      <c r="D49" s="7"/>
      <c r="E49" s="143"/>
      <c r="F49" s="71"/>
      <c r="G49" s="139"/>
      <c r="H49" s="152"/>
      <c r="I49" s="137"/>
      <c r="J49" s="137"/>
      <c r="K49" s="137"/>
      <c r="L49" s="137"/>
      <c r="M49" s="137"/>
      <c r="N49" s="137"/>
      <c r="O49" s="137"/>
      <c r="P49" s="210"/>
      <c r="Q49" s="210"/>
      <c r="R49" s="137"/>
      <c r="S49" s="210"/>
      <c r="T49" s="210"/>
      <c r="U49" s="213"/>
      <c r="AB49" s="43"/>
      <c r="AC49" s="43"/>
      <c r="AD49" s="43"/>
      <c r="AE49" s="43"/>
      <c r="AF49" s="43"/>
    </row>
    <row r="50" spans="1:32" x14ac:dyDescent="0.25">
      <c r="A50" s="2" t="s">
        <v>24</v>
      </c>
      <c r="B50" s="2"/>
      <c r="C50" s="2"/>
      <c r="D50" s="39">
        <f>D52+D61+D70</f>
        <v>52664893</v>
      </c>
      <c r="E50" s="144">
        <f>E52+E61+E70</f>
        <v>61743497.850000001</v>
      </c>
      <c r="F50" s="83">
        <f>F52+F61+F70</f>
        <v>21000000</v>
      </c>
      <c r="G50" s="66">
        <f>G52+G61+G70</f>
        <v>31664893</v>
      </c>
      <c r="H50" s="65"/>
      <c r="I50" s="66"/>
      <c r="J50" s="66"/>
      <c r="K50" s="66"/>
      <c r="L50" s="66"/>
      <c r="M50" s="66"/>
      <c r="N50" s="66"/>
      <c r="O50" s="2" t="s">
        <v>24</v>
      </c>
      <c r="P50" s="212">
        <f>+P52+P61+P70</f>
        <v>52664893</v>
      </c>
      <c r="Q50" s="221">
        <f>+F50</f>
        <v>21000000</v>
      </c>
      <c r="R50" s="227">
        <f>+R52+R61+R70</f>
        <v>23140693</v>
      </c>
      <c r="S50" s="221">
        <f>+S52+S61+S70</f>
        <v>8524200</v>
      </c>
      <c r="T50" s="221">
        <f>SUM(Q50:S50)</f>
        <v>52664893</v>
      </c>
      <c r="U50" s="220"/>
      <c r="AB50" s="43"/>
      <c r="AC50" s="43"/>
      <c r="AD50" s="43"/>
      <c r="AE50" s="43"/>
      <c r="AF50" s="43"/>
    </row>
    <row r="51" spans="1:32" ht="15.75" hidden="1" x14ac:dyDescent="0.25">
      <c r="D51" s="7"/>
      <c r="E51" s="145"/>
      <c r="F51" s="27"/>
      <c r="G51" s="137"/>
      <c r="H51" s="65"/>
      <c r="I51" s="137"/>
      <c r="J51" s="137"/>
      <c r="K51" s="137"/>
      <c r="L51" s="137"/>
      <c r="M51" s="137"/>
      <c r="N51" s="137"/>
      <c r="O51" s="184" t="s">
        <v>183</v>
      </c>
      <c r="P51" s="211"/>
      <c r="Q51" s="211"/>
      <c r="R51" s="228"/>
      <c r="S51" s="211"/>
      <c r="T51" s="212">
        <f t="shared" ref="T51:T114" si="0">SUM(Q51:S51)</f>
        <v>0</v>
      </c>
      <c r="U51" s="214"/>
      <c r="AB51" s="43"/>
      <c r="AC51" s="43"/>
      <c r="AD51" s="43"/>
      <c r="AE51" s="43"/>
      <c r="AF51" s="43"/>
    </row>
    <row r="52" spans="1:32" x14ac:dyDescent="0.25">
      <c r="B52" t="s">
        <v>26</v>
      </c>
      <c r="D52" s="7">
        <f>'1 North Wenatchee Ave'!D45</f>
        <v>16793597</v>
      </c>
      <c r="E52" s="145">
        <f>'1 North Wenatchee Ave'!E45</f>
        <v>18236277</v>
      </c>
      <c r="F52" s="27">
        <v>0</v>
      </c>
      <c r="G52" s="53">
        <f t="shared" ref="G52:G70" si="1">D52-F52</f>
        <v>16793597</v>
      </c>
      <c r="H52" s="65"/>
      <c r="I52" s="53"/>
      <c r="J52" s="53"/>
      <c r="K52" s="53"/>
      <c r="L52" s="53"/>
      <c r="M52" s="53"/>
      <c r="N52" s="53"/>
      <c r="O52" t="s">
        <v>26</v>
      </c>
      <c r="P52" s="212">
        <f>+D52</f>
        <v>16793597</v>
      </c>
      <c r="Q52" s="212"/>
      <c r="R52" s="151">
        <f>+'Independent Utility'!G52</f>
        <v>16793597</v>
      </c>
      <c r="S52" s="212"/>
      <c r="T52" s="212">
        <f t="shared" si="0"/>
        <v>16793597</v>
      </c>
      <c r="U52" s="214"/>
      <c r="AB52" s="187"/>
      <c r="AC52" s="43"/>
      <c r="AD52" s="43"/>
      <c r="AE52" s="43"/>
      <c r="AF52" s="43"/>
    </row>
    <row r="53" spans="1:32" hidden="1" x14ac:dyDescent="0.25">
      <c r="C53" t="s">
        <v>20</v>
      </c>
      <c r="D53" s="7">
        <f>'1 North Wenatchee Ave'!D46</f>
        <v>1508008</v>
      </c>
      <c r="E53" s="145">
        <f>'1 North Wenatchee Ave'!E46</f>
        <v>2702352</v>
      </c>
      <c r="F53" s="27"/>
      <c r="G53" s="53">
        <f t="shared" si="1"/>
        <v>1508008</v>
      </c>
      <c r="H53" s="65"/>
      <c r="I53" s="53"/>
      <c r="J53" s="53"/>
      <c r="K53" s="53"/>
      <c r="L53" s="53"/>
      <c r="M53" s="53"/>
      <c r="N53" s="53"/>
      <c r="O53" s="185" t="s">
        <v>184</v>
      </c>
      <c r="P53" s="212">
        <f t="shared" ref="P53:P116" si="2">+D53</f>
        <v>1508008</v>
      </c>
      <c r="Q53" s="212"/>
      <c r="R53" s="151"/>
      <c r="S53" s="212"/>
      <c r="T53" s="212">
        <f t="shared" si="0"/>
        <v>0</v>
      </c>
      <c r="U53" s="214"/>
      <c r="AB53" s="43"/>
      <c r="AC53" s="43"/>
      <c r="AD53" s="43"/>
      <c r="AE53" s="43"/>
      <c r="AF53" s="43"/>
    </row>
    <row r="54" spans="1:32" hidden="1" x14ac:dyDescent="0.25">
      <c r="C54" t="s">
        <v>21</v>
      </c>
      <c r="D54" s="7">
        <f>'1 North Wenatchee Ave'!D47</f>
        <v>0</v>
      </c>
      <c r="E54" s="145">
        <f>'1 North Wenatchee Ave'!E47</f>
        <v>0</v>
      </c>
      <c r="F54" s="27"/>
      <c r="G54" s="53">
        <f t="shared" si="1"/>
        <v>0</v>
      </c>
      <c r="H54" s="65"/>
      <c r="I54" s="53"/>
      <c r="J54" s="53"/>
      <c r="K54" s="53"/>
      <c r="L54" s="53"/>
      <c r="M54" s="53"/>
      <c r="N54" s="53"/>
      <c r="O54" s="185" t="s">
        <v>185</v>
      </c>
      <c r="P54" s="212">
        <f t="shared" si="2"/>
        <v>0</v>
      </c>
      <c r="Q54" s="212"/>
      <c r="R54" s="151"/>
      <c r="S54" s="212"/>
      <c r="T54" s="212">
        <f t="shared" si="0"/>
        <v>0</v>
      </c>
      <c r="U54" s="214"/>
      <c r="AB54" s="43"/>
      <c r="AC54" s="43"/>
      <c r="AD54" s="43"/>
      <c r="AE54" s="43"/>
      <c r="AF54" s="43"/>
    </row>
    <row r="55" spans="1:32" hidden="1" x14ac:dyDescent="0.25">
      <c r="C55" t="s">
        <v>22</v>
      </c>
      <c r="D55" s="7">
        <f>'1 North Wenatchee Ave'!D48</f>
        <v>1346664</v>
      </c>
      <c r="E55" s="145">
        <f>'1 North Wenatchee Ave'!E48</f>
        <v>1475000</v>
      </c>
      <c r="F55" s="27"/>
      <c r="G55" s="53">
        <f t="shared" si="1"/>
        <v>1346664</v>
      </c>
      <c r="H55" s="65"/>
      <c r="I55" s="53"/>
      <c r="J55" s="53"/>
      <c r="K55" s="53"/>
      <c r="L55" s="53"/>
      <c r="M55" s="53"/>
      <c r="N55" s="53"/>
      <c r="O55" s="186" t="s">
        <v>186</v>
      </c>
      <c r="P55" s="212">
        <f t="shared" si="2"/>
        <v>1346664</v>
      </c>
      <c r="Q55" s="212"/>
      <c r="R55" s="151"/>
      <c r="S55" s="212"/>
      <c r="T55" s="212">
        <f t="shared" si="0"/>
        <v>0</v>
      </c>
      <c r="U55" s="214"/>
      <c r="AB55" s="43"/>
      <c r="AC55" s="43"/>
      <c r="AD55" s="43"/>
      <c r="AE55" s="43"/>
      <c r="AF55" s="43"/>
    </row>
    <row r="56" spans="1:32" hidden="1" x14ac:dyDescent="0.25">
      <c r="C56" t="s">
        <v>37</v>
      </c>
      <c r="D56" s="7">
        <f>'1 North Wenatchee Ave'!D49</f>
        <v>2090838.75</v>
      </c>
      <c r="E56" s="145">
        <f>'1 North Wenatchee Ave'!E49</f>
        <v>2108838.75</v>
      </c>
      <c r="F56" s="27"/>
      <c r="G56" s="53">
        <f t="shared" si="1"/>
        <v>2090838.75</v>
      </c>
      <c r="H56" s="65"/>
      <c r="I56" s="53"/>
      <c r="J56" s="53"/>
      <c r="K56" s="53"/>
      <c r="L56" s="53"/>
      <c r="M56" s="53"/>
      <c r="N56" s="53"/>
      <c r="O56" s="185" t="s">
        <v>187</v>
      </c>
      <c r="P56" s="212">
        <f t="shared" si="2"/>
        <v>2090838.75</v>
      </c>
      <c r="Q56" s="212"/>
      <c r="R56" s="151"/>
      <c r="S56" s="212"/>
      <c r="T56" s="212">
        <f t="shared" si="0"/>
        <v>0</v>
      </c>
      <c r="U56" s="214"/>
      <c r="AB56" s="43"/>
      <c r="AC56" s="43"/>
      <c r="AD56" s="43"/>
      <c r="AE56" s="43"/>
      <c r="AF56" s="43"/>
    </row>
    <row r="57" spans="1:32" hidden="1" x14ac:dyDescent="0.25">
      <c r="C57" t="s">
        <v>23</v>
      </c>
      <c r="D57" s="7">
        <f>'1 North Wenatchee Ave'!D50</f>
        <v>10454193.75</v>
      </c>
      <c r="E57" s="145">
        <f>'1 North Wenatchee Ave'!E50</f>
        <v>10544193.75</v>
      </c>
      <c r="F57" s="27"/>
      <c r="G57" s="53">
        <f t="shared" si="1"/>
        <v>10454193.75</v>
      </c>
      <c r="H57" s="65"/>
      <c r="I57" s="53"/>
      <c r="J57" s="53"/>
      <c r="K57" s="53"/>
      <c r="L57" s="53"/>
      <c r="M57" s="53"/>
      <c r="N57" s="53"/>
      <c r="O57" s="183" t="s">
        <v>188</v>
      </c>
      <c r="P57" s="212">
        <f t="shared" si="2"/>
        <v>10454193.75</v>
      </c>
      <c r="Q57" s="212"/>
      <c r="R57" s="151"/>
      <c r="S57" s="212"/>
      <c r="T57" s="212">
        <f t="shared" si="0"/>
        <v>0</v>
      </c>
      <c r="U57" s="214"/>
      <c r="AB57" s="43"/>
      <c r="AC57" s="43"/>
      <c r="AD57" s="43"/>
      <c r="AE57" s="43"/>
      <c r="AF57" s="43"/>
    </row>
    <row r="58" spans="1:32" ht="15.75" hidden="1" x14ac:dyDescent="0.25">
      <c r="C58" t="s">
        <v>39</v>
      </c>
      <c r="D58" s="7">
        <f>'1 North Wenatchee Ave'!D51</f>
        <v>1393892.4999999998</v>
      </c>
      <c r="E58" s="145">
        <f>'1 North Wenatchee Ave'!E51</f>
        <v>1405892.4999999998</v>
      </c>
      <c r="F58" s="27"/>
      <c r="G58" s="53">
        <f t="shared" si="1"/>
        <v>1393892.4999999998</v>
      </c>
      <c r="H58" s="65"/>
      <c r="I58" s="53"/>
      <c r="J58" s="53"/>
      <c r="K58" s="53"/>
      <c r="L58" s="53"/>
      <c r="M58" s="53"/>
      <c r="N58" s="53"/>
      <c r="O58" s="184" t="s">
        <v>189</v>
      </c>
      <c r="P58" s="212">
        <f t="shared" si="2"/>
        <v>1393892.4999999998</v>
      </c>
      <c r="Q58" s="212"/>
      <c r="R58" s="151"/>
      <c r="S58" s="212"/>
      <c r="T58" s="212">
        <f t="shared" si="0"/>
        <v>0</v>
      </c>
      <c r="U58" s="214"/>
      <c r="AB58" s="43"/>
      <c r="AC58" s="43"/>
      <c r="AD58" s="43"/>
      <c r="AE58" s="43"/>
      <c r="AF58" s="43"/>
    </row>
    <row r="59" spans="1:32" hidden="1" x14ac:dyDescent="0.25">
      <c r="D59" s="7"/>
      <c r="E59" s="145"/>
      <c r="F59" s="27"/>
      <c r="G59" s="53">
        <f t="shared" si="1"/>
        <v>0</v>
      </c>
      <c r="H59" s="65"/>
      <c r="I59" s="53"/>
      <c r="J59" s="53"/>
      <c r="K59" s="53"/>
      <c r="L59" s="53"/>
      <c r="M59" s="53"/>
      <c r="N59" s="53"/>
      <c r="O59" s="182"/>
      <c r="P59" s="212">
        <f t="shared" si="2"/>
        <v>0</v>
      </c>
      <c r="Q59" s="212"/>
      <c r="R59" s="151"/>
      <c r="S59" s="212"/>
      <c r="T59" s="212">
        <f t="shared" si="0"/>
        <v>0</v>
      </c>
      <c r="U59" s="214"/>
      <c r="AB59" s="43"/>
      <c r="AC59" s="43"/>
      <c r="AD59" s="43"/>
      <c r="AE59" s="43"/>
      <c r="AF59" s="43"/>
    </row>
    <row r="60" spans="1:32" ht="15.75" hidden="1" x14ac:dyDescent="0.25">
      <c r="D60" s="7"/>
      <c r="E60" s="145"/>
      <c r="F60" s="27"/>
      <c r="G60" s="53">
        <f t="shared" si="1"/>
        <v>0</v>
      </c>
      <c r="H60" s="65"/>
      <c r="I60" s="137"/>
      <c r="J60" s="137"/>
      <c r="K60" s="137"/>
      <c r="L60" s="137"/>
      <c r="M60" s="137"/>
      <c r="N60" s="137"/>
      <c r="O60" s="184" t="s">
        <v>190</v>
      </c>
      <c r="P60" s="212">
        <f t="shared" si="2"/>
        <v>0</v>
      </c>
      <c r="Q60" s="212"/>
      <c r="R60" s="151"/>
      <c r="S60" s="212"/>
      <c r="T60" s="212">
        <f t="shared" si="0"/>
        <v>0</v>
      </c>
      <c r="U60" s="214"/>
      <c r="AB60" s="43"/>
      <c r="AC60" s="43"/>
      <c r="AD60" s="43"/>
      <c r="AE60" s="43"/>
      <c r="AF60" s="43"/>
    </row>
    <row r="61" spans="1:32" x14ac:dyDescent="0.25">
      <c r="B61" t="s">
        <v>25</v>
      </c>
      <c r="D61" s="7">
        <f>'1 North Wenatchee Ave'!D54</f>
        <v>31524200</v>
      </c>
      <c r="E61" s="145">
        <f>'1 North Wenatchee Ave'!E54</f>
        <v>38507219.850000001</v>
      </c>
      <c r="F61" s="27">
        <f>'1 North Wenatchee Ave'!D33</f>
        <v>21000000</v>
      </c>
      <c r="G61" s="53">
        <f t="shared" si="1"/>
        <v>10524200</v>
      </c>
      <c r="H61" s="65"/>
      <c r="I61" s="53"/>
      <c r="J61" s="53"/>
      <c r="K61" s="53"/>
      <c r="L61" s="53"/>
      <c r="M61" s="53"/>
      <c r="N61" s="53"/>
      <c r="O61" t="s">
        <v>25</v>
      </c>
      <c r="P61" s="212">
        <f t="shared" si="2"/>
        <v>31524200</v>
      </c>
      <c r="Q61" s="212">
        <f>+F61</f>
        <v>21000000</v>
      </c>
      <c r="R61" s="151">
        <f>+'Independent Utility'!G61</f>
        <v>2000000</v>
      </c>
      <c r="S61" s="212">
        <f>+'Independent Utility'!H61</f>
        <v>8524200</v>
      </c>
      <c r="T61" s="212">
        <f t="shared" si="0"/>
        <v>31524200</v>
      </c>
      <c r="U61" s="214"/>
      <c r="AB61" s="43"/>
      <c r="AC61" s="43"/>
      <c r="AD61" s="43"/>
      <c r="AE61" s="43"/>
      <c r="AF61" s="43"/>
    </row>
    <row r="62" spans="1:32" hidden="1" x14ac:dyDescent="0.25">
      <c r="C62" t="s">
        <v>20</v>
      </c>
      <c r="D62" s="7">
        <f>'1 North Wenatchee Ave'!D55</f>
        <v>2045999.9999999995</v>
      </c>
      <c r="E62" s="145">
        <f>'1 North Wenatchee Ave'!E55</f>
        <v>4330885.8499999996</v>
      </c>
      <c r="F62" s="27"/>
      <c r="G62" s="53">
        <f t="shared" si="1"/>
        <v>2045999.9999999995</v>
      </c>
      <c r="H62" s="65"/>
      <c r="I62" s="53"/>
      <c r="J62" s="53"/>
      <c r="K62" s="53"/>
      <c r="L62" s="53"/>
      <c r="M62" s="53"/>
      <c r="N62" s="53"/>
      <c r="P62" s="212">
        <f t="shared" si="2"/>
        <v>2045999.9999999995</v>
      </c>
      <c r="Q62" s="212">
        <f t="shared" ref="Q62:Q125" si="3">+F62</f>
        <v>0</v>
      </c>
      <c r="R62" s="151"/>
      <c r="S62" s="212"/>
      <c r="T62" s="212">
        <f t="shared" si="0"/>
        <v>0</v>
      </c>
      <c r="U62" s="214"/>
      <c r="AB62" s="43"/>
      <c r="AC62" s="43"/>
      <c r="AD62" s="43"/>
      <c r="AE62" s="43"/>
      <c r="AF62" s="43"/>
    </row>
    <row r="63" spans="1:32" hidden="1" x14ac:dyDescent="0.25">
      <c r="C63" t="s">
        <v>21</v>
      </c>
      <c r="D63" s="7">
        <f>'1 North Wenatchee Ave'!D56</f>
        <v>0</v>
      </c>
      <c r="E63" s="145">
        <f>'1 North Wenatchee Ave'!E56</f>
        <v>0</v>
      </c>
      <c r="F63" s="27"/>
      <c r="G63" s="53">
        <f t="shared" si="1"/>
        <v>0</v>
      </c>
      <c r="H63" s="65"/>
      <c r="I63" s="53"/>
      <c r="J63" s="53"/>
      <c r="K63" s="53"/>
      <c r="L63" s="53"/>
      <c r="M63" s="53"/>
      <c r="N63" s="53"/>
      <c r="P63" s="212">
        <f t="shared" si="2"/>
        <v>0</v>
      </c>
      <c r="Q63" s="212">
        <f t="shared" si="3"/>
        <v>0</v>
      </c>
      <c r="R63" s="151"/>
      <c r="S63" s="212"/>
      <c r="T63" s="212">
        <f t="shared" si="0"/>
        <v>0</v>
      </c>
      <c r="U63" s="214"/>
      <c r="AB63" s="43"/>
      <c r="AC63" s="43"/>
      <c r="AD63" s="43"/>
      <c r="AE63" s="43"/>
      <c r="AF63" s="43"/>
    </row>
    <row r="64" spans="1:32" hidden="1" x14ac:dyDescent="0.25">
      <c r="C64" t="s">
        <v>22</v>
      </c>
      <c r="D64" s="7">
        <f>'1 North Wenatchee Ave'!D57</f>
        <v>0</v>
      </c>
      <c r="E64" s="145">
        <f>'1 North Wenatchee Ave'!E57</f>
        <v>3290340</v>
      </c>
      <c r="F64" s="27"/>
      <c r="G64" s="53">
        <f t="shared" si="1"/>
        <v>0</v>
      </c>
      <c r="H64" s="65"/>
      <c r="I64" s="53"/>
      <c r="J64" s="53"/>
      <c r="K64" s="53"/>
      <c r="L64" s="53"/>
      <c r="M64" s="53"/>
      <c r="N64" s="53"/>
      <c r="P64" s="212">
        <f t="shared" si="2"/>
        <v>0</v>
      </c>
      <c r="Q64" s="212">
        <f t="shared" si="3"/>
        <v>0</v>
      </c>
      <c r="R64" s="151"/>
      <c r="S64" s="212"/>
      <c r="T64" s="212">
        <f t="shared" si="0"/>
        <v>0</v>
      </c>
      <c r="U64" s="214"/>
      <c r="AB64" s="43"/>
      <c r="AC64" s="43"/>
      <c r="AD64" s="43"/>
      <c r="AE64" s="43"/>
      <c r="AF64" s="43"/>
    </row>
    <row r="65" spans="1:32" hidden="1" x14ac:dyDescent="0.25">
      <c r="C65" t="s">
        <v>37</v>
      </c>
      <c r="D65" s="7">
        <f>'1 North Wenatchee Ave'!D58</f>
        <v>2837000</v>
      </c>
      <c r="E65" s="145">
        <f>'1 North Wenatchee Ave'!E58</f>
        <v>2837000</v>
      </c>
      <c r="F65" s="27"/>
      <c r="G65" s="53">
        <f t="shared" si="1"/>
        <v>2837000</v>
      </c>
      <c r="H65" s="65"/>
      <c r="I65" s="53"/>
      <c r="J65" s="53"/>
      <c r="K65" s="53"/>
      <c r="L65" s="53"/>
      <c r="M65" s="53"/>
      <c r="N65" s="53"/>
      <c r="P65" s="212">
        <f t="shared" si="2"/>
        <v>2837000</v>
      </c>
      <c r="Q65" s="212">
        <f t="shared" si="3"/>
        <v>0</v>
      </c>
      <c r="R65" s="151"/>
      <c r="S65" s="212"/>
      <c r="T65" s="212">
        <f t="shared" si="0"/>
        <v>0</v>
      </c>
      <c r="U65" s="214"/>
      <c r="AB65" s="43"/>
      <c r="AC65" s="43"/>
      <c r="AD65" s="43"/>
      <c r="AE65" s="43"/>
      <c r="AF65" s="43"/>
    </row>
    <row r="66" spans="1:32" hidden="1" x14ac:dyDescent="0.25">
      <c r="C66" t="s">
        <v>23</v>
      </c>
      <c r="D66" s="7">
        <f>'1 North Wenatchee Ave'!D59</f>
        <v>23639000</v>
      </c>
      <c r="E66" s="145">
        <f>'1 North Wenatchee Ave'!E59</f>
        <v>25046794</v>
      </c>
      <c r="F66" s="27"/>
      <c r="G66" s="53">
        <f t="shared" si="1"/>
        <v>23639000</v>
      </c>
      <c r="H66" s="65"/>
      <c r="I66" s="53"/>
      <c r="J66" s="53"/>
      <c r="K66" s="53"/>
      <c r="L66" s="53"/>
      <c r="M66" s="53"/>
      <c r="N66" s="53"/>
      <c r="P66" s="212">
        <f t="shared" si="2"/>
        <v>23639000</v>
      </c>
      <c r="Q66" s="212">
        <f t="shared" si="3"/>
        <v>0</v>
      </c>
      <c r="R66" s="151"/>
      <c r="S66" s="212"/>
      <c r="T66" s="212">
        <f t="shared" si="0"/>
        <v>0</v>
      </c>
      <c r="U66" s="214"/>
      <c r="AB66" s="43"/>
      <c r="AC66" s="43"/>
      <c r="AD66" s="43"/>
      <c r="AE66" s="43"/>
      <c r="AF66" s="43"/>
    </row>
    <row r="67" spans="1:32" hidden="1" x14ac:dyDescent="0.25">
      <c r="C67" t="s">
        <v>39</v>
      </c>
      <c r="D67" s="7">
        <f>'1 North Wenatchee Ave'!D60</f>
        <v>3002200</v>
      </c>
      <c r="E67" s="145">
        <f>'1 North Wenatchee Ave'!E60</f>
        <v>3002200</v>
      </c>
      <c r="F67" s="27"/>
      <c r="G67" s="53">
        <f t="shared" si="1"/>
        <v>3002200</v>
      </c>
      <c r="H67" s="65"/>
      <c r="I67" s="53"/>
      <c r="J67" s="53"/>
      <c r="K67" s="53"/>
      <c r="L67" s="53"/>
      <c r="M67" s="53"/>
      <c r="N67" s="53"/>
      <c r="P67" s="212">
        <f t="shared" si="2"/>
        <v>3002200</v>
      </c>
      <c r="Q67" s="212">
        <f t="shared" si="3"/>
        <v>0</v>
      </c>
      <c r="R67" s="151"/>
      <c r="S67" s="212"/>
      <c r="T67" s="212">
        <f t="shared" si="0"/>
        <v>0</v>
      </c>
      <c r="U67" s="214"/>
      <c r="AB67" s="43"/>
      <c r="AC67" s="43"/>
      <c r="AD67" s="43"/>
      <c r="AE67" s="43"/>
      <c r="AF67" s="43"/>
    </row>
    <row r="68" spans="1:32" hidden="1" x14ac:dyDescent="0.25">
      <c r="D68" s="7"/>
      <c r="E68" s="145"/>
      <c r="F68" s="27"/>
      <c r="G68" s="53">
        <f t="shared" si="1"/>
        <v>0</v>
      </c>
      <c r="H68" s="65"/>
      <c r="I68" s="53"/>
      <c r="J68" s="53"/>
      <c r="K68" s="53"/>
      <c r="L68" s="53"/>
      <c r="M68" s="53"/>
      <c r="N68" s="53"/>
      <c r="P68" s="212">
        <f t="shared" si="2"/>
        <v>0</v>
      </c>
      <c r="Q68" s="212">
        <f t="shared" si="3"/>
        <v>0</v>
      </c>
      <c r="R68" s="151"/>
      <c r="S68" s="212"/>
      <c r="T68" s="212">
        <f t="shared" si="0"/>
        <v>0</v>
      </c>
      <c r="U68" s="214"/>
      <c r="AB68" s="43"/>
      <c r="AC68" s="43"/>
      <c r="AD68" s="43"/>
      <c r="AE68" s="43"/>
      <c r="AF68" s="43"/>
    </row>
    <row r="69" spans="1:32" hidden="1" x14ac:dyDescent="0.25">
      <c r="D69" s="7"/>
      <c r="E69" s="145"/>
      <c r="F69" s="27"/>
      <c r="G69" s="53">
        <f t="shared" si="1"/>
        <v>0</v>
      </c>
      <c r="H69" s="65"/>
      <c r="I69" s="137"/>
      <c r="J69" s="137"/>
      <c r="K69" s="137"/>
      <c r="L69" s="137"/>
      <c r="M69" s="137"/>
      <c r="N69" s="137"/>
      <c r="P69" s="212">
        <f t="shared" si="2"/>
        <v>0</v>
      </c>
      <c r="Q69" s="212">
        <f t="shared" si="3"/>
        <v>0</v>
      </c>
      <c r="R69" s="151"/>
      <c r="S69" s="212"/>
      <c r="T69" s="212">
        <f t="shared" si="0"/>
        <v>0</v>
      </c>
      <c r="U69" s="214"/>
      <c r="AB69" s="43"/>
      <c r="AC69" s="43"/>
      <c r="AD69" s="43"/>
      <c r="AE69" s="43"/>
      <c r="AF69" s="43"/>
    </row>
    <row r="70" spans="1:32" x14ac:dyDescent="0.25">
      <c r="B70" t="s">
        <v>42</v>
      </c>
      <c r="D70" s="7">
        <f>'1 North Wenatchee Ave'!D63</f>
        <v>4347096</v>
      </c>
      <c r="E70" s="145">
        <f>'1 North Wenatchee Ave'!E63</f>
        <v>5000001</v>
      </c>
      <c r="F70" s="27">
        <v>0</v>
      </c>
      <c r="G70" s="53">
        <f t="shared" si="1"/>
        <v>4347096</v>
      </c>
      <c r="H70" s="65"/>
      <c r="I70" s="53"/>
      <c r="J70" s="53"/>
      <c r="K70" s="53"/>
      <c r="L70" s="53"/>
      <c r="M70" s="53"/>
      <c r="N70" s="53"/>
      <c r="O70" t="s">
        <v>42</v>
      </c>
      <c r="P70" s="212">
        <f t="shared" si="2"/>
        <v>4347096</v>
      </c>
      <c r="Q70" s="212">
        <f t="shared" si="3"/>
        <v>0</v>
      </c>
      <c r="R70" s="151">
        <f>+'Independent Utility'!G70</f>
        <v>4347096</v>
      </c>
      <c r="S70" s="212"/>
      <c r="T70" s="212">
        <f t="shared" si="0"/>
        <v>4347096</v>
      </c>
      <c r="U70" s="214"/>
      <c r="AB70" s="43"/>
      <c r="AC70" s="43"/>
      <c r="AD70" s="43"/>
      <c r="AE70" s="43"/>
      <c r="AF70" s="43"/>
    </row>
    <row r="71" spans="1:32" hidden="1" x14ac:dyDescent="0.25">
      <c r="C71" t="s">
        <v>20</v>
      </c>
      <c r="D71" s="7">
        <f>'1 North Wenatchee Ave'!D64</f>
        <v>6021</v>
      </c>
      <c r="E71" s="145"/>
      <c r="F71" s="27"/>
      <c r="G71" s="53"/>
      <c r="H71" s="65"/>
      <c r="I71" s="53"/>
      <c r="J71" s="53"/>
      <c r="K71" s="53"/>
      <c r="L71" s="53"/>
      <c r="M71" s="53"/>
      <c r="N71" s="53"/>
      <c r="O71" s="53"/>
      <c r="P71" s="212">
        <f t="shared" si="2"/>
        <v>6021</v>
      </c>
      <c r="Q71" s="212">
        <f t="shared" si="3"/>
        <v>0</v>
      </c>
      <c r="R71" s="151"/>
      <c r="S71" s="212"/>
      <c r="T71" s="212">
        <f t="shared" si="0"/>
        <v>0</v>
      </c>
      <c r="U71" s="214"/>
      <c r="AB71" s="43"/>
      <c r="AC71" s="43"/>
      <c r="AD71" s="43"/>
      <c r="AE71" s="43"/>
      <c r="AF71" s="43"/>
    </row>
    <row r="72" spans="1:32" hidden="1" x14ac:dyDescent="0.25">
      <c r="C72" t="s">
        <v>21</v>
      </c>
      <c r="D72" s="7">
        <f>'1 North Wenatchee Ave'!D65</f>
        <v>0</v>
      </c>
      <c r="E72" s="145"/>
      <c r="F72" s="27"/>
      <c r="G72" s="53"/>
      <c r="H72" s="65"/>
      <c r="I72" s="53"/>
      <c r="J72" s="53"/>
      <c r="K72" s="53"/>
      <c r="L72" s="53"/>
      <c r="M72" s="53"/>
      <c r="N72" s="53"/>
      <c r="O72" s="53"/>
      <c r="P72" s="212">
        <f t="shared" si="2"/>
        <v>0</v>
      </c>
      <c r="Q72" s="212">
        <f t="shared" si="3"/>
        <v>0</v>
      </c>
      <c r="R72" s="151"/>
      <c r="S72" s="212"/>
      <c r="T72" s="212">
        <f t="shared" si="0"/>
        <v>0</v>
      </c>
      <c r="U72" s="214"/>
      <c r="AB72" s="43"/>
      <c r="AC72" s="43"/>
      <c r="AD72" s="43"/>
      <c r="AE72" s="43"/>
      <c r="AF72" s="43"/>
    </row>
    <row r="73" spans="1:32" hidden="1" x14ac:dyDescent="0.25">
      <c r="C73" t="s">
        <v>22</v>
      </c>
      <c r="D73" s="7">
        <f>'1 North Wenatchee Ave'!D66</f>
        <v>0</v>
      </c>
      <c r="E73" s="145"/>
      <c r="F73" s="27"/>
      <c r="G73" s="53"/>
      <c r="H73" s="65"/>
      <c r="I73" s="53"/>
      <c r="J73" s="53"/>
      <c r="K73" s="53"/>
      <c r="L73" s="53"/>
      <c r="M73" s="53"/>
      <c r="N73" s="53"/>
      <c r="O73" s="53"/>
      <c r="P73" s="212">
        <f t="shared" si="2"/>
        <v>0</v>
      </c>
      <c r="Q73" s="212">
        <f t="shared" si="3"/>
        <v>0</v>
      </c>
      <c r="R73" s="151"/>
      <c r="S73" s="212"/>
      <c r="T73" s="212">
        <f t="shared" si="0"/>
        <v>0</v>
      </c>
      <c r="U73" s="214"/>
      <c r="AB73" s="43"/>
      <c r="AC73" s="43"/>
      <c r="AD73" s="43"/>
      <c r="AE73" s="43"/>
      <c r="AF73" s="43"/>
    </row>
    <row r="74" spans="1:32" hidden="1" x14ac:dyDescent="0.25">
      <c r="C74" t="s">
        <v>37</v>
      </c>
      <c r="D74" s="7">
        <f>'1 North Wenatchee Ave'!D67</f>
        <v>651161.25</v>
      </c>
      <c r="E74" s="145"/>
      <c r="F74" s="27"/>
      <c r="G74" s="53"/>
      <c r="H74" s="65"/>
      <c r="I74" s="53"/>
      <c r="J74" s="53"/>
      <c r="K74" s="53"/>
      <c r="L74" s="53"/>
      <c r="M74" s="53"/>
      <c r="N74" s="53"/>
      <c r="O74" s="53"/>
      <c r="P74" s="212">
        <f t="shared" si="2"/>
        <v>651161.25</v>
      </c>
      <c r="Q74" s="212">
        <f t="shared" si="3"/>
        <v>0</v>
      </c>
      <c r="R74" s="151"/>
      <c r="S74" s="212"/>
      <c r="T74" s="212">
        <f t="shared" si="0"/>
        <v>0</v>
      </c>
      <c r="U74" s="214"/>
      <c r="AB74" s="43"/>
      <c r="AC74" s="43"/>
      <c r="AD74" s="43"/>
      <c r="AE74" s="43"/>
      <c r="AF74" s="43"/>
    </row>
    <row r="75" spans="1:32" hidden="1" x14ac:dyDescent="0.25">
      <c r="C75" t="s">
        <v>23</v>
      </c>
      <c r="D75" s="7">
        <f>'1 North Wenatchee Ave'!D68</f>
        <v>3255806.25</v>
      </c>
      <c r="E75" s="145"/>
      <c r="F75" s="27"/>
      <c r="G75" s="53"/>
      <c r="H75" s="65"/>
      <c r="I75" s="53"/>
      <c r="J75" s="53"/>
      <c r="K75" s="53"/>
      <c r="L75" s="53"/>
      <c r="M75" s="53"/>
      <c r="N75" s="53"/>
      <c r="O75" s="53"/>
      <c r="P75" s="212">
        <f t="shared" si="2"/>
        <v>3255806.25</v>
      </c>
      <c r="Q75" s="212">
        <f t="shared" si="3"/>
        <v>0</v>
      </c>
      <c r="R75" s="151"/>
      <c r="S75" s="212"/>
      <c r="T75" s="212">
        <f t="shared" si="0"/>
        <v>0</v>
      </c>
      <c r="U75" s="214"/>
      <c r="AB75" s="43"/>
      <c r="AC75" s="43"/>
      <c r="AD75" s="43"/>
      <c r="AE75" s="43"/>
      <c r="AF75" s="43"/>
    </row>
    <row r="76" spans="1:32" hidden="1" x14ac:dyDescent="0.25">
      <c r="C76" t="s">
        <v>39</v>
      </c>
      <c r="D76" s="7">
        <f>'1 North Wenatchee Ave'!D69</f>
        <v>434107.50000000006</v>
      </c>
      <c r="E76" s="145"/>
      <c r="F76" s="27"/>
      <c r="G76" s="53"/>
      <c r="H76" s="65"/>
      <c r="I76" s="53"/>
      <c r="J76" s="53"/>
      <c r="K76" s="53"/>
      <c r="L76" s="53"/>
      <c r="M76" s="53"/>
      <c r="N76" s="53"/>
      <c r="O76" s="53"/>
      <c r="P76" s="212">
        <f t="shared" si="2"/>
        <v>434107.50000000006</v>
      </c>
      <c r="Q76" s="212">
        <f t="shared" si="3"/>
        <v>0</v>
      </c>
      <c r="R76" s="151"/>
      <c r="S76" s="212"/>
      <c r="T76" s="212">
        <f t="shared" si="0"/>
        <v>0</v>
      </c>
      <c r="U76" s="214"/>
      <c r="AB76" s="43"/>
      <c r="AC76" s="43"/>
      <c r="AD76" s="43"/>
      <c r="AE76" s="43"/>
      <c r="AF76" s="43"/>
    </row>
    <row r="77" spans="1:32" hidden="1" x14ac:dyDescent="0.25">
      <c r="D77" s="7"/>
      <c r="E77" s="145"/>
      <c r="F77" s="27"/>
      <c r="G77" s="53"/>
      <c r="H77" s="65"/>
      <c r="I77" s="53"/>
      <c r="J77" s="53"/>
      <c r="K77" s="53"/>
      <c r="L77" s="53"/>
      <c r="M77" s="53"/>
      <c r="N77" s="53"/>
      <c r="O77" s="53"/>
      <c r="P77" s="212">
        <f t="shared" si="2"/>
        <v>0</v>
      </c>
      <c r="Q77" s="212">
        <f t="shared" si="3"/>
        <v>0</v>
      </c>
      <c r="R77" s="151"/>
      <c r="S77" s="212"/>
      <c r="T77" s="212">
        <f t="shared" si="0"/>
        <v>0</v>
      </c>
      <c r="U77" s="214"/>
      <c r="AB77" s="43"/>
      <c r="AC77" s="43"/>
      <c r="AD77" s="43"/>
      <c r="AE77" s="43"/>
      <c r="AF77" s="43"/>
    </row>
    <row r="78" spans="1:32" hidden="1" x14ac:dyDescent="0.25">
      <c r="D78" s="7"/>
      <c r="E78" s="145"/>
      <c r="F78" s="27"/>
      <c r="G78" s="53"/>
      <c r="H78" s="65"/>
      <c r="I78" s="137"/>
      <c r="J78" s="137"/>
      <c r="K78" s="137"/>
      <c r="L78" s="137"/>
      <c r="M78" s="137"/>
      <c r="N78" s="137"/>
      <c r="O78" s="137"/>
      <c r="P78" s="212">
        <f t="shared" si="2"/>
        <v>0</v>
      </c>
      <c r="Q78" s="212">
        <f t="shared" si="3"/>
        <v>0</v>
      </c>
      <c r="R78" s="151"/>
      <c r="S78" s="212"/>
      <c r="T78" s="212">
        <f t="shared" si="0"/>
        <v>0</v>
      </c>
      <c r="U78" s="214"/>
      <c r="AB78" s="43"/>
      <c r="AC78" s="43"/>
      <c r="AD78" s="43"/>
      <c r="AE78" s="43"/>
      <c r="AF78" s="43"/>
    </row>
    <row r="79" spans="1:32" x14ac:dyDescent="0.25">
      <c r="D79" s="7"/>
      <c r="E79" s="145"/>
      <c r="F79" s="27"/>
      <c r="G79" s="53"/>
      <c r="H79" s="65"/>
      <c r="I79" s="137"/>
      <c r="J79" s="181"/>
      <c r="K79" s="137"/>
      <c r="L79" s="137"/>
      <c r="M79" s="137"/>
      <c r="N79" s="137"/>
      <c r="O79" s="137"/>
      <c r="P79" s="212">
        <f t="shared" si="2"/>
        <v>0</v>
      </c>
      <c r="Q79" s="212">
        <f t="shared" si="3"/>
        <v>0</v>
      </c>
      <c r="R79" s="151"/>
      <c r="S79" s="212"/>
      <c r="T79" s="212">
        <f t="shared" si="0"/>
        <v>0</v>
      </c>
      <c r="U79" s="214"/>
      <c r="AB79" s="43"/>
      <c r="AC79" s="43"/>
      <c r="AD79" s="43"/>
      <c r="AE79" s="43"/>
      <c r="AF79" s="43"/>
    </row>
    <row r="80" spans="1:32" x14ac:dyDescent="0.25">
      <c r="A80" s="2" t="s">
        <v>27</v>
      </c>
      <c r="B80" s="2"/>
      <c r="C80" s="2"/>
      <c r="D80" s="39">
        <f>D82+D91+D100</f>
        <v>137949360</v>
      </c>
      <c r="E80" s="144">
        <f>E82+E91+E100</f>
        <v>141157431</v>
      </c>
      <c r="F80" s="83">
        <f>F82+F91+F100</f>
        <v>103049360</v>
      </c>
      <c r="G80" s="66">
        <f>G82+G91+G100</f>
        <v>34900000</v>
      </c>
      <c r="H80" s="65"/>
      <c r="I80" s="66"/>
      <c r="J80" s="66"/>
      <c r="K80" s="66"/>
      <c r="L80" s="66"/>
      <c r="M80" s="66"/>
      <c r="N80" s="66"/>
      <c r="O80" s="66" t="s">
        <v>215</v>
      </c>
      <c r="P80" s="229">
        <f t="shared" si="2"/>
        <v>137949360</v>
      </c>
      <c r="Q80" s="230">
        <f t="shared" si="3"/>
        <v>103049360</v>
      </c>
      <c r="R80" s="231">
        <f>+R82+R91+R100</f>
        <v>11500000</v>
      </c>
      <c r="S80" s="229">
        <f>+S82+S91+S100</f>
        <v>23400000</v>
      </c>
      <c r="T80" s="229">
        <f t="shared" si="0"/>
        <v>137949360</v>
      </c>
      <c r="U80" s="214"/>
      <c r="V80" s="62">
        <f>+T80-P80</f>
        <v>0</v>
      </c>
      <c r="W80" s="62">
        <f>+R80+S80</f>
        <v>34900000</v>
      </c>
      <c r="AB80" s="43"/>
      <c r="AC80" s="43"/>
      <c r="AD80" s="43"/>
      <c r="AE80" s="43"/>
      <c r="AF80" s="43"/>
    </row>
    <row r="81" spans="2:32" x14ac:dyDescent="0.25">
      <c r="D81" s="7"/>
      <c r="E81" s="145"/>
      <c r="F81" s="27"/>
      <c r="G81" s="53"/>
      <c r="H81" s="65"/>
      <c r="I81" s="137"/>
      <c r="J81" s="181"/>
      <c r="K81" s="137"/>
      <c r="L81" s="137"/>
      <c r="M81" s="137"/>
      <c r="N81" s="137"/>
      <c r="O81" s="183"/>
      <c r="P81" s="212">
        <f t="shared" si="2"/>
        <v>0</v>
      </c>
      <c r="Q81" s="212">
        <f t="shared" si="3"/>
        <v>0</v>
      </c>
      <c r="R81" s="151"/>
      <c r="S81" s="212"/>
      <c r="T81" s="212">
        <f t="shared" si="0"/>
        <v>0</v>
      </c>
      <c r="U81" s="214"/>
      <c r="V81" s="62">
        <f t="shared" ref="V81:V136" si="4">+T81-P81</f>
        <v>0</v>
      </c>
      <c r="AB81" s="43"/>
      <c r="AC81" s="43"/>
      <c r="AD81" s="43"/>
      <c r="AE81" s="43"/>
      <c r="AF81" s="43"/>
    </row>
    <row r="82" spans="2:32" x14ac:dyDescent="0.25">
      <c r="B82" t="s">
        <v>29</v>
      </c>
      <c r="D82" s="7">
        <f>'2 Confluence Parkway'!D45</f>
        <v>61087756</v>
      </c>
      <c r="E82" s="145">
        <f>'2 Confluence Parkway'!E45</f>
        <v>61837756</v>
      </c>
      <c r="F82" s="27">
        <f>+D82-G82</f>
        <v>53587756</v>
      </c>
      <c r="G82" s="53">
        <f>+R82</f>
        <v>7500000</v>
      </c>
      <c r="H82" s="65"/>
      <c r="I82" s="53"/>
      <c r="J82" s="53"/>
      <c r="K82" s="53"/>
      <c r="L82" s="53"/>
      <c r="M82" s="53"/>
      <c r="N82" s="53"/>
      <c r="O82" t="s">
        <v>29</v>
      </c>
      <c r="P82" s="212">
        <f t="shared" si="2"/>
        <v>61087756</v>
      </c>
      <c r="Q82" s="212">
        <f t="shared" si="3"/>
        <v>53587756</v>
      </c>
      <c r="R82" s="151">
        <f>+'Independent Utility'!G82-R91</f>
        <v>7500000</v>
      </c>
      <c r="S82" s="212"/>
      <c r="T82" s="212">
        <f t="shared" si="0"/>
        <v>61087756</v>
      </c>
      <c r="U82" s="214"/>
      <c r="V82" s="62">
        <f t="shared" si="4"/>
        <v>0</v>
      </c>
      <c r="AB82" s="43"/>
      <c r="AC82" s="43"/>
      <c r="AD82" s="43"/>
      <c r="AE82" s="43"/>
      <c r="AF82" s="43"/>
    </row>
    <row r="83" spans="2:32" hidden="1" x14ac:dyDescent="0.25">
      <c r="C83" t="s">
        <v>20</v>
      </c>
      <c r="D83" s="7">
        <f>'2 Confluence Parkway'!D46</f>
        <v>4350000</v>
      </c>
      <c r="E83" s="145">
        <f>'2 Confluence Parkway'!E46</f>
        <v>5000000</v>
      </c>
      <c r="F83" s="27"/>
      <c r="G83" s="53"/>
      <c r="H83" s="65"/>
      <c r="I83" s="53"/>
      <c r="J83" s="53"/>
      <c r="K83" s="53"/>
      <c r="L83" s="53"/>
      <c r="M83" s="53"/>
      <c r="N83" s="53"/>
      <c r="P83" s="212">
        <f t="shared" si="2"/>
        <v>4350000</v>
      </c>
      <c r="Q83" s="212">
        <f t="shared" si="3"/>
        <v>0</v>
      </c>
      <c r="R83" s="151"/>
      <c r="S83" s="212"/>
      <c r="T83" s="212">
        <f t="shared" si="0"/>
        <v>0</v>
      </c>
      <c r="U83" s="214"/>
      <c r="V83" s="62">
        <f t="shared" si="4"/>
        <v>-4350000</v>
      </c>
      <c r="AB83" s="43"/>
      <c r="AC83" s="43"/>
      <c r="AD83" s="43"/>
      <c r="AE83" s="43"/>
      <c r="AF83" s="43"/>
    </row>
    <row r="84" spans="2:32" hidden="1" x14ac:dyDescent="0.25">
      <c r="C84" t="s">
        <v>21</v>
      </c>
      <c r="D84" s="7">
        <f>'2 Confluence Parkway'!D47</f>
        <v>0</v>
      </c>
      <c r="E84" s="145">
        <f>'2 Confluence Parkway'!E47</f>
        <v>500000</v>
      </c>
      <c r="F84" s="27"/>
      <c r="G84" s="53"/>
      <c r="H84" s="65"/>
      <c r="I84" s="53"/>
      <c r="J84" s="53"/>
      <c r="K84" s="53"/>
      <c r="L84" s="53"/>
      <c r="M84" s="53"/>
      <c r="N84" s="53"/>
      <c r="P84" s="212">
        <f t="shared" si="2"/>
        <v>0</v>
      </c>
      <c r="Q84" s="212">
        <f t="shared" si="3"/>
        <v>0</v>
      </c>
      <c r="R84" s="151"/>
      <c r="S84" s="212"/>
      <c r="T84" s="212">
        <f t="shared" si="0"/>
        <v>0</v>
      </c>
      <c r="U84" s="214"/>
      <c r="V84" s="62">
        <f t="shared" si="4"/>
        <v>0</v>
      </c>
      <c r="AB84" s="43"/>
      <c r="AC84" s="43"/>
      <c r="AD84" s="43"/>
      <c r="AE84" s="43"/>
      <c r="AF84" s="43"/>
    </row>
    <row r="85" spans="2:32" hidden="1" x14ac:dyDescent="0.25">
      <c r="C85" t="s">
        <v>22</v>
      </c>
      <c r="D85" s="7">
        <f>'2 Confluence Parkway'!D48</f>
        <v>9648428</v>
      </c>
      <c r="E85" s="145">
        <f>'2 Confluence Parkway'!E48</f>
        <v>9648428</v>
      </c>
      <c r="F85" s="27"/>
      <c r="G85" s="53"/>
      <c r="H85" s="65"/>
      <c r="I85" s="53"/>
      <c r="J85" s="53"/>
      <c r="K85" s="53"/>
      <c r="L85" s="53"/>
      <c r="M85" s="53"/>
      <c r="N85" s="53"/>
      <c r="P85" s="212">
        <f t="shared" si="2"/>
        <v>9648428</v>
      </c>
      <c r="Q85" s="212">
        <f t="shared" si="3"/>
        <v>0</v>
      </c>
      <c r="R85" s="151"/>
      <c r="S85" s="212"/>
      <c r="T85" s="212">
        <f t="shared" si="0"/>
        <v>0</v>
      </c>
      <c r="U85" s="214"/>
      <c r="V85" s="62">
        <f t="shared" si="4"/>
        <v>-9648428</v>
      </c>
      <c r="AB85" s="43"/>
      <c r="AC85" s="43"/>
      <c r="AD85" s="43"/>
      <c r="AE85" s="43"/>
      <c r="AF85" s="43"/>
    </row>
    <row r="86" spans="2:32" hidden="1" x14ac:dyDescent="0.25">
      <c r="C86" t="s">
        <v>37</v>
      </c>
      <c r="D86" s="7">
        <f>'2 Confluence Parkway'!D49</f>
        <v>4400000</v>
      </c>
      <c r="E86" s="145">
        <f>'2 Confluence Parkway'!E49</f>
        <v>4400000</v>
      </c>
      <c r="F86" s="27"/>
      <c r="G86" s="53"/>
      <c r="H86" s="65"/>
      <c r="I86" s="53"/>
      <c r="J86" s="53"/>
      <c r="K86" s="53"/>
      <c r="L86" s="53"/>
      <c r="M86" s="53"/>
      <c r="N86" s="53"/>
      <c r="P86" s="212">
        <f t="shared" si="2"/>
        <v>4400000</v>
      </c>
      <c r="Q86" s="212">
        <f t="shared" si="3"/>
        <v>0</v>
      </c>
      <c r="R86" s="151"/>
      <c r="S86" s="212"/>
      <c r="T86" s="212">
        <f t="shared" si="0"/>
        <v>0</v>
      </c>
      <c r="U86" s="214"/>
      <c r="V86" s="62">
        <f t="shared" si="4"/>
        <v>-4400000</v>
      </c>
      <c r="AB86" s="43"/>
      <c r="AC86" s="43"/>
      <c r="AD86" s="43"/>
      <c r="AE86" s="43"/>
      <c r="AF86" s="43"/>
    </row>
    <row r="87" spans="2:32" hidden="1" x14ac:dyDescent="0.25">
      <c r="C87" t="s">
        <v>23</v>
      </c>
      <c r="D87" s="7">
        <f>'2 Confluence Parkway'!D50</f>
        <v>36669000</v>
      </c>
      <c r="E87" s="145">
        <f>'2 Confluence Parkway'!E50</f>
        <v>36669000</v>
      </c>
      <c r="F87" s="27"/>
      <c r="G87" s="53"/>
      <c r="H87" s="65"/>
      <c r="I87" s="53"/>
      <c r="J87" s="53"/>
      <c r="K87" s="53"/>
      <c r="L87" s="53"/>
      <c r="M87" s="53"/>
      <c r="N87" s="53"/>
      <c r="P87" s="212">
        <f t="shared" si="2"/>
        <v>36669000</v>
      </c>
      <c r="Q87" s="212">
        <f t="shared" si="3"/>
        <v>0</v>
      </c>
      <c r="R87" s="151"/>
      <c r="S87" s="212"/>
      <c r="T87" s="212">
        <f t="shared" si="0"/>
        <v>0</v>
      </c>
      <c r="U87" s="214"/>
      <c r="V87" s="62">
        <f t="shared" si="4"/>
        <v>-36669000</v>
      </c>
      <c r="AB87" s="43"/>
      <c r="AC87" s="43"/>
      <c r="AD87" s="43"/>
      <c r="AE87" s="43"/>
      <c r="AF87" s="43"/>
    </row>
    <row r="88" spans="2:32" hidden="1" x14ac:dyDescent="0.25">
      <c r="C88" t="s">
        <v>39</v>
      </c>
      <c r="D88" s="7">
        <f>'2 Confluence Parkway'!D51</f>
        <v>5620328</v>
      </c>
      <c r="E88" s="145">
        <f>'2 Confluence Parkway'!E51</f>
        <v>5620328</v>
      </c>
      <c r="F88" s="27"/>
      <c r="G88" s="53"/>
      <c r="H88" s="65"/>
      <c r="I88" s="53"/>
      <c r="J88" s="53"/>
      <c r="K88" s="53"/>
      <c r="L88" s="53"/>
      <c r="M88" s="53"/>
      <c r="N88" s="53"/>
      <c r="P88" s="212">
        <f t="shared" si="2"/>
        <v>5620328</v>
      </c>
      <c r="Q88" s="212">
        <f t="shared" si="3"/>
        <v>0</v>
      </c>
      <c r="R88" s="151"/>
      <c r="S88" s="212"/>
      <c r="T88" s="212">
        <f t="shared" si="0"/>
        <v>0</v>
      </c>
      <c r="U88" s="214"/>
      <c r="V88" s="62">
        <f t="shared" si="4"/>
        <v>-5620328</v>
      </c>
      <c r="AB88" s="43"/>
      <c r="AC88" s="43"/>
      <c r="AD88" s="43"/>
      <c r="AE88" s="43"/>
      <c r="AF88" s="43"/>
    </row>
    <row r="89" spans="2:32" hidden="1" x14ac:dyDescent="0.25">
      <c r="D89" s="7"/>
      <c r="E89" s="145"/>
      <c r="F89" s="27"/>
      <c r="G89" s="53"/>
      <c r="H89" s="65"/>
      <c r="I89" s="53"/>
      <c r="J89" s="53"/>
      <c r="K89" s="53"/>
      <c r="L89" s="53"/>
      <c r="M89" s="53"/>
      <c r="N89" s="53"/>
      <c r="P89" s="212">
        <f t="shared" si="2"/>
        <v>0</v>
      </c>
      <c r="Q89" s="212">
        <f t="shared" si="3"/>
        <v>0</v>
      </c>
      <c r="R89" s="151"/>
      <c r="S89" s="212"/>
      <c r="T89" s="212">
        <f t="shared" si="0"/>
        <v>0</v>
      </c>
      <c r="U89" s="214"/>
      <c r="V89" s="62">
        <f t="shared" si="4"/>
        <v>0</v>
      </c>
      <c r="AB89" s="43"/>
      <c r="AC89" s="43"/>
      <c r="AD89" s="43"/>
      <c r="AE89" s="43"/>
      <c r="AF89" s="43"/>
    </row>
    <row r="90" spans="2:32" hidden="1" x14ac:dyDescent="0.25">
      <c r="D90" s="7"/>
      <c r="E90" s="145"/>
      <c r="F90" s="27"/>
      <c r="G90" s="53"/>
      <c r="H90" s="65"/>
      <c r="I90" s="137"/>
      <c r="J90" s="137"/>
      <c r="K90" s="137"/>
      <c r="L90" s="137"/>
      <c r="M90" s="137"/>
      <c r="N90" s="137"/>
      <c r="P90" s="212">
        <f t="shared" si="2"/>
        <v>0</v>
      </c>
      <c r="Q90" s="212">
        <f t="shared" si="3"/>
        <v>0</v>
      </c>
      <c r="R90" s="151"/>
      <c r="S90" s="212"/>
      <c r="T90" s="212">
        <f t="shared" si="0"/>
        <v>0</v>
      </c>
      <c r="U90" s="214"/>
      <c r="V90" s="62">
        <f t="shared" si="4"/>
        <v>0</v>
      </c>
      <c r="AB90" s="43"/>
      <c r="AC90" s="43"/>
      <c r="AD90" s="43"/>
      <c r="AE90" s="43"/>
      <c r="AF90" s="43"/>
    </row>
    <row r="91" spans="2:32" x14ac:dyDescent="0.25">
      <c r="B91" t="s">
        <v>28</v>
      </c>
      <c r="D91" s="7">
        <f>'2 Confluence Parkway'!D54</f>
        <v>66861604</v>
      </c>
      <c r="E91" s="145">
        <f>'2 Confluence Parkway'!E54</f>
        <v>69269675</v>
      </c>
      <c r="F91" s="27">
        <f>+'2 Confluence Parkway'!G79-F82-F100</f>
        <v>39461604</v>
      </c>
      <c r="G91" s="53">
        <f>+R91+S91</f>
        <v>27400000</v>
      </c>
      <c r="H91" s="65"/>
      <c r="I91" s="53"/>
      <c r="J91" s="53"/>
      <c r="K91" s="53"/>
      <c r="L91" s="53"/>
      <c r="M91" s="53"/>
      <c r="N91" s="53"/>
      <c r="O91" t="s">
        <v>28</v>
      </c>
      <c r="P91" s="229">
        <f t="shared" si="2"/>
        <v>66861604</v>
      </c>
      <c r="Q91" s="229">
        <f>+F91</f>
        <v>39461604</v>
      </c>
      <c r="R91" s="181">
        <f>4000000</f>
        <v>4000000</v>
      </c>
      <c r="S91" s="229">
        <f>+'Independent Utility'!H82</f>
        <v>23400000</v>
      </c>
      <c r="T91" s="229">
        <f t="shared" si="0"/>
        <v>66861604</v>
      </c>
      <c r="U91" s="214"/>
      <c r="V91" s="62">
        <f t="shared" si="4"/>
        <v>0</v>
      </c>
      <c r="AB91" s="43"/>
      <c r="AC91" s="43"/>
      <c r="AD91" s="43"/>
      <c r="AE91" s="43"/>
      <c r="AF91" s="43"/>
    </row>
    <row r="92" spans="2:32" hidden="1" x14ac:dyDescent="0.25">
      <c r="C92" t="s">
        <v>20</v>
      </c>
      <c r="D92" s="7">
        <f>'2 Confluence Parkway'!D55</f>
        <v>4699578</v>
      </c>
      <c r="E92" s="145">
        <f>'2 Confluence Parkway'!E55</f>
        <v>5711000</v>
      </c>
      <c r="F92" s="27"/>
      <c r="G92" s="53">
        <f t="shared" ref="G92:G99" si="5">D92-F92</f>
        <v>4699578</v>
      </c>
      <c r="H92" s="65"/>
      <c r="I92" s="53"/>
      <c r="J92" s="53"/>
      <c r="K92" s="53"/>
      <c r="L92" s="53"/>
      <c r="M92" s="53"/>
      <c r="N92" s="53"/>
      <c r="P92" s="212">
        <f t="shared" si="2"/>
        <v>4699578</v>
      </c>
      <c r="Q92" s="212">
        <f t="shared" si="3"/>
        <v>0</v>
      </c>
      <c r="R92" s="151"/>
      <c r="S92" s="212"/>
      <c r="T92" s="212">
        <f t="shared" si="0"/>
        <v>0</v>
      </c>
      <c r="U92" s="214"/>
      <c r="V92" s="62">
        <f t="shared" si="4"/>
        <v>-4699578</v>
      </c>
      <c r="AB92" s="43"/>
      <c r="AC92" s="43"/>
      <c r="AD92" s="43"/>
      <c r="AE92" s="43"/>
      <c r="AF92" s="43"/>
    </row>
    <row r="93" spans="2:32" hidden="1" x14ac:dyDescent="0.25">
      <c r="C93" t="s">
        <v>21</v>
      </c>
      <c r="D93" s="7">
        <f>'2 Confluence Parkway'!D56</f>
        <v>1053351</v>
      </c>
      <c r="E93" s="145">
        <f>'2 Confluence Parkway'!E56</f>
        <v>2450000</v>
      </c>
      <c r="F93" s="27"/>
      <c r="G93" s="53">
        <f t="shared" si="5"/>
        <v>1053351</v>
      </c>
      <c r="H93" s="65"/>
      <c r="I93" s="53"/>
      <c r="J93" s="53"/>
      <c r="K93" s="53"/>
      <c r="L93" s="53"/>
      <c r="M93" s="53"/>
      <c r="N93" s="53"/>
      <c r="P93" s="212">
        <f t="shared" si="2"/>
        <v>1053351</v>
      </c>
      <c r="Q93" s="212">
        <f t="shared" si="3"/>
        <v>0</v>
      </c>
      <c r="R93" s="151"/>
      <c r="S93" s="212"/>
      <c r="T93" s="212">
        <f t="shared" si="0"/>
        <v>0</v>
      </c>
      <c r="U93" s="214"/>
      <c r="V93" s="62">
        <f t="shared" si="4"/>
        <v>-1053351</v>
      </c>
      <c r="AB93" s="43"/>
      <c r="AC93" s="43"/>
      <c r="AD93" s="43"/>
      <c r="AE93" s="43"/>
      <c r="AF93" s="43"/>
    </row>
    <row r="94" spans="2:32" hidden="1" x14ac:dyDescent="0.25">
      <c r="C94" t="s">
        <v>22</v>
      </c>
      <c r="D94" s="7">
        <f>'2 Confluence Parkway'!D57</f>
        <v>9970000</v>
      </c>
      <c r="E94" s="145">
        <f>'2 Confluence Parkway'!E57</f>
        <v>9970000</v>
      </c>
      <c r="F94" s="27"/>
      <c r="G94" s="53">
        <f t="shared" si="5"/>
        <v>9970000</v>
      </c>
      <c r="H94" s="65"/>
      <c r="I94" s="53"/>
      <c r="J94" s="53"/>
      <c r="K94" s="53"/>
      <c r="L94" s="53"/>
      <c r="M94" s="53"/>
      <c r="N94" s="53"/>
      <c r="P94" s="212">
        <f t="shared" si="2"/>
        <v>9970000</v>
      </c>
      <c r="Q94" s="212">
        <f t="shared" si="3"/>
        <v>0</v>
      </c>
      <c r="R94" s="151"/>
      <c r="S94" s="212"/>
      <c r="T94" s="212">
        <f t="shared" si="0"/>
        <v>0</v>
      </c>
      <c r="U94" s="214"/>
      <c r="V94" s="62">
        <f t="shared" si="4"/>
        <v>-9970000</v>
      </c>
      <c r="AB94" s="43"/>
      <c r="AC94" s="43"/>
      <c r="AD94" s="43"/>
      <c r="AE94" s="43"/>
      <c r="AF94" s="43"/>
    </row>
    <row r="95" spans="2:32" hidden="1" x14ac:dyDescent="0.25">
      <c r="C95" t="s">
        <v>37</v>
      </c>
      <c r="D95" s="7">
        <f>'2 Confluence Parkway'!D58</f>
        <v>4312700</v>
      </c>
      <c r="E95" s="145">
        <f>'2 Confluence Parkway'!E58</f>
        <v>4312700</v>
      </c>
      <c r="F95" s="27"/>
      <c r="G95" s="53">
        <f t="shared" si="5"/>
        <v>4312700</v>
      </c>
      <c r="H95" s="65"/>
      <c r="I95" s="53"/>
      <c r="J95" s="53"/>
      <c r="K95" s="53"/>
      <c r="L95" s="53"/>
      <c r="M95" s="53"/>
      <c r="N95" s="53"/>
      <c r="P95" s="212">
        <f t="shared" si="2"/>
        <v>4312700</v>
      </c>
      <c r="Q95" s="212">
        <f t="shared" si="3"/>
        <v>0</v>
      </c>
      <c r="R95" s="151"/>
      <c r="S95" s="212"/>
      <c r="T95" s="212">
        <f t="shared" si="0"/>
        <v>0</v>
      </c>
      <c r="U95" s="214"/>
      <c r="V95" s="62">
        <f t="shared" si="4"/>
        <v>-4312700</v>
      </c>
      <c r="AB95" s="43"/>
      <c r="AC95" s="43"/>
      <c r="AD95" s="43"/>
      <c r="AE95" s="43"/>
      <c r="AF95" s="43"/>
    </row>
    <row r="96" spans="2:32" hidden="1" x14ac:dyDescent="0.25">
      <c r="C96" t="s">
        <v>23</v>
      </c>
      <c r="D96" s="7">
        <f>'2 Confluence Parkway'!D59</f>
        <v>35939000</v>
      </c>
      <c r="E96" s="145">
        <f>'2 Confluence Parkway'!E59</f>
        <v>35939000</v>
      </c>
      <c r="F96" s="27"/>
      <c r="G96" s="53">
        <f t="shared" si="5"/>
        <v>35939000</v>
      </c>
      <c r="H96" s="65"/>
      <c r="I96" s="53"/>
      <c r="J96" s="53"/>
      <c r="K96" s="53"/>
      <c r="L96" s="53"/>
      <c r="M96" s="53"/>
      <c r="N96" s="53"/>
      <c r="P96" s="212">
        <f t="shared" si="2"/>
        <v>35939000</v>
      </c>
      <c r="Q96" s="212">
        <f t="shared" si="3"/>
        <v>0</v>
      </c>
      <c r="R96" s="151"/>
      <c r="S96" s="212"/>
      <c r="T96" s="212">
        <f t="shared" si="0"/>
        <v>0</v>
      </c>
      <c r="U96" s="214"/>
      <c r="V96" s="62">
        <f t="shared" si="4"/>
        <v>-35939000</v>
      </c>
      <c r="AB96" s="43"/>
      <c r="AC96" s="43"/>
      <c r="AD96" s="43"/>
      <c r="AE96" s="43"/>
      <c r="AF96" s="43"/>
    </row>
    <row r="97" spans="1:32" hidden="1" x14ac:dyDescent="0.25">
      <c r="C97" t="s">
        <v>39</v>
      </c>
      <c r="D97" s="7">
        <f>'2 Confluence Parkway'!D60</f>
        <v>10886975</v>
      </c>
      <c r="E97" s="145">
        <f>'2 Confluence Parkway'!E60</f>
        <v>10886975</v>
      </c>
      <c r="F97" s="27"/>
      <c r="G97" s="53">
        <f t="shared" si="5"/>
        <v>10886975</v>
      </c>
      <c r="H97" s="65"/>
      <c r="I97" s="53"/>
      <c r="J97" s="53"/>
      <c r="K97" s="53"/>
      <c r="L97" s="53"/>
      <c r="M97" s="53"/>
      <c r="N97" s="53"/>
      <c r="P97" s="212">
        <f t="shared" si="2"/>
        <v>10886975</v>
      </c>
      <c r="Q97" s="212">
        <f t="shared" si="3"/>
        <v>0</v>
      </c>
      <c r="R97" s="151"/>
      <c r="S97" s="212"/>
      <c r="T97" s="212">
        <f t="shared" si="0"/>
        <v>0</v>
      </c>
      <c r="U97" s="214"/>
      <c r="V97" s="62">
        <f t="shared" si="4"/>
        <v>-10886975</v>
      </c>
      <c r="AB97" s="43"/>
      <c r="AC97" s="43"/>
      <c r="AD97" s="43"/>
      <c r="AE97" s="43"/>
      <c r="AF97" s="43"/>
    </row>
    <row r="98" spans="1:32" hidden="1" x14ac:dyDescent="0.25">
      <c r="D98" s="7"/>
      <c r="E98" s="145"/>
      <c r="F98" s="27"/>
      <c r="G98" s="53">
        <f t="shared" si="5"/>
        <v>0</v>
      </c>
      <c r="H98" s="65"/>
      <c r="I98" s="53"/>
      <c r="J98" s="53"/>
      <c r="K98" s="53"/>
      <c r="L98" s="53"/>
      <c r="M98" s="53"/>
      <c r="N98" s="53"/>
      <c r="P98" s="212">
        <f t="shared" si="2"/>
        <v>0</v>
      </c>
      <c r="Q98" s="212">
        <f t="shared" si="3"/>
        <v>0</v>
      </c>
      <c r="R98" s="151"/>
      <c r="S98" s="212"/>
      <c r="T98" s="212">
        <f t="shared" si="0"/>
        <v>0</v>
      </c>
      <c r="U98" s="214"/>
      <c r="V98" s="62">
        <f t="shared" si="4"/>
        <v>0</v>
      </c>
      <c r="AB98" s="43"/>
      <c r="AC98" s="43"/>
      <c r="AD98" s="43"/>
      <c r="AE98" s="43"/>
      <c r="AF98" s="43"/>
    </row>
    <row r="99" spans="1:32" hidden="1" x14ac:dyDescent="0.25">
      <c r="D99" s="7"/>
      <c r="E99" s="145"/>
      <c r="F99" s="27"/>
      <c r="G99" s="53">
        <f t="shared" si="5"/>
        <v>0</v>
      </c>
      <c r="H99" s="65"/>
      <c r="I99" s="137"/>
      <c r="J99" s="137"/>
      <c r="K99" s="137"/>
      <c r="L99" s="137"/>
      <c r="M99" s="137"/>
      <c r="N99" s="137"/>
      <c r="P99" s="212">
        <f t="shared" si="2"/>
        <v>0</v>
      </c>
      <c r="Q99" s="212">
        <f t="shared" si="3"/>
        <v>0</v>
      </c>
      <c r="R99" s="151"/>
      <c r="S99" s="212"/>
      <c r="T99" s="212">
        <f t="shared" si="0"/>
        <v>0</v>
      </c>
      <c r="U99" s="214"/>
      <c r="V99" s="62">
        <f t="shared" si="4"/>
        <v>0</v>
      </c>
      <c r="AB99" s="43"/>
      <c r="AC99" s="43"/>
      <c r="AD99" s="43"/>
      <c r="AE99" s="43"/>
      <c r="AF99" s="43"/>
    </row>
    <row r="100" spans="1:32" x14ac:dyDescent="0.25">
      <c r="A100" s="2"/>
      <c r="B100" t="s">
        <v>294</v>
      </c>
      <c r="C100" s="2"/>
      <c r="D100" s="7">
        <f>'2 Confluence Parkway'!D64</f>
        <v>10000000</v>
      </c>
      <c r="E100" s="145">
        <f>'2 Confluence Parkway'!E64</f>
        <v>10050000</v>
      </c>
      <c r="F100" s="27">
        <f>SUM('2 Confluence Parkway'!J64:Q64)-'Funding Source Summary'!G100</f>
        <v>10000000</v>
      </c>
      <c r="G100" s="53">
        <v>0</v>
      </c>
      <c r="H100" s="65"/>
      <c r="I100" s="53"/>
      <c r="J100" s="180"/>
      <c r="K100" s="53"/>
      <c r="L100" s="53"/>
      <c r="M100" s="53"/>
      <c r="N100" s="53"/>
      <c r="O100" s="70" t="s">
        <v>294</v>
      </c>
      <c r="P100" s="212">
        <f t="shared" si="2"/>
        <v>10000000</v>
      </c>
      <c r="Q100" s="212">
        <f>+F100</f>
        <v>10000000</v>
      </c>
      <c r="R100" s="151">
        <v>0</v>
      </c>
      <c r="S100" s="212"/>
      <c r="T100" s="212">
        <f t="shared" si="0"/>
        <v>10000000</v>
      </c>
      <c r="U100" s="214"/>
      <c r="V100" s="62">
        <f t="shared" si="4"/>
        <v>0</v>
      </c>
      <c r="AB100" s="43"/>
      <c r="AC100" s="43"/>
      <c r="AD100" s="43"/>
      <c r="AE100" s="43"/>
      <c r="AF100" s="43"/>
    </row>
    <row r="101" spans="1:32" hidden="1" x14ac:dyDescent="0.25">
      <c r="C101" t="s">
        <v>20</v>
      </c>
      <c r="D101" s="7">
        <f>'2 Confluence Parkway'!D65</f>
        <v>600000</v>
      </c>
      <c r="E101" s="145"/>
      <c r="F101" s="27"/>
      <c r="G101" s="53"/>
      <c r="H101" s="65"/>
      <c r="I101" s="53"/>
      <c r="J101" s="53"/>
      <c r="K101" s="53"/>
      <c r="L101" s="53"/>
      <c r="M101" s="53"/>
      <c r="N101" s="53"/>
      <c r="O101" s="53"/>
      <c r="P101" s="212">
        <f t="shared" si="2"/>
        <v>600000</v>
      </c>
      <c r="Q101" s="212">
        <f t="shared" si="3"/>
        <v>0</v>
      </c>
      <c r="R101" s="151"/>
      <c r="S101" s="212"/>
      <c r="T101" s="212">
        <f t="shared" si="0"/>
        <v>0</v>
      </c>
      <c r="U101" s="214"/>
      <c r="V101" s="62">
        <f t="shared" si="4"/>
        <v>-600000</v>
      </c>
      <c r="AB101" s="43"/>
      <c r="AC101" s="43"/>
      <c r="AD101" s="43"/>
      <c r="AE101" s="43"/>
      <c r="AF101" s="43"/>
    </row>
    <row r="102" spans="1:32" hidden="1" x14ac:dyDescent="0.25">
      <c r="C102" t="s">
        <v>21</v>
      </c>
      <c r="D102" s="7">
        <f>'2 Confluence Parkway'!D66</f>
        <v>200000</v>
      </c>
      <c r="E102" s="145"/>
      <c r="F102" s="27"/>
      <c r="G102" s="53"/>
      <c r="H102" s="65"/>
      <c r="I102" s="53"/>
      <c r="J102" s="53"/>
      <c r="K102" s="53"/>
      <c r="L102" s="53"/>
      <c r="M102" s="53"/>
      <c r="N102" s="53"/>
      <c r="O102" s="53"/>
      <c r="P102" s="212">
        <f t="shared" si="2"/>
        <v>200000</v>
      </c>
      <c r="Q102" s="212">
        <f t="shared" si="3"/>
        <v>0</v>
      </c>
      <c r="R102" s="151"/>
      <c r="S102" s="212"/>
      <c r="T102" s="212">
        <f t="shared" si="0"/>
        <v>0</v>
      </c>
      <c r="U102" s="214"/>
      <c r="V102" s="62">
        <f t="shared" si="4"/>
        <v>-200000</v>
      </c>
      <c r="AB102" s="43"/>
      <c r="AC102" s="43"/>
      <c r="AD102" s="43"/>
      <c r="AE102" s="43"/>
      <c r="AF102" s="43"/>
    </row>
    <row r="103" spans="1:32" hidden="1" x14ac:dyDescent="0.25">
      <c r="C103" t="s">
        <v>22</v>
      </c>
      <c r="D103" s="7">
        <f>'2 Confluence Parkway'!D67</f>
        <v>0</v>
      </c>
      <c r="E103" s="145"/>
      <c r="F103" s="27"/>
      <c r="G103" s="53"/>
      <c r="H103" s="65"/>
      <c r="I103" s="53"/>
      <c r="J103" s="53"/>
      <c r="K103" s="53"/>
      <c r="L103" s="53"/>
      <c r="M103" s="53"/>
      <c r="N103" s="53"/>
      <c r="O103" s="53"/>
      <c r="P103" s="212">
        <f t="shared" si="2"/>
        <v>0</v>
      </c>
      <c r="Q103" s="212">
        <f t="shared" si="3"/>
        <v>0</v>
      </c>
      <c r="R103" s="151"/>
      <c r="S103" s="212"/>
      <c r="T103" s="212">
        <f t="shared" si="0"/>
        <v>0</v>
      </c>
      <c r="U103" s="214"/>
      <c r="V103" s="62">
        <f t="shared" si="4"/>
        <v>0</v>
      </c>
      <c r="AB103" s="43"/>
      <c r="AC103" s="43"/>
      <c r="AD103" s="43"/>
      <c r="AE103" s="43"/>
      <c r="AF103" s="43"/>
    </row>
    <row r="104" spans="1:32" hidden="1" x14ac:dyDescent="0.25">
      <c r="C104" t="s">
        <v>37</v>
      </c>
      <c r="D104" s="7">
        <f>'2 Confluence Parkway'!D68</f>
        <v>1040000</v>
      </c>
      <c r="E104" s="145"/>
      <c r="F104" s="27"/>
      <c r="G104" s="53"/>
      <c r="H104" s="65"/>
      <c r="I104" s="53"/>
      <c r="J104" s="53"/>
      <c r="K104" s="53"/>
      <c r="L104" s="53"/>
      <c r="M104" s="53"/>
      <c r="N104" s="53"/>
      <c r="O104" s="53"/>
      <c r="P104" s="212">
        <f t="shared" si="2"/>
        <v>1040000</v>
      </c>
      <c r="Q104" s="212">
        <f t="shared" si="3"/>
        <v>0</v>
      </c>
      <c r="R104" s="151"/>
      <c r="S104" s="212"/>
      <c r="T104" s="212">
        <f t="shared" si="0"/>
        <v>0</v>
      </c>
      <c r="U104" s="214"/>
      <c r="V104" s="62">
        <f t="shared" si="4"/>
        <v>-1040000</v>
      </c>
      <c r="AB104" s="43"/>
      <c r="AC104" s="43"/>
      <c r="AD104" s="43"/>
      <c r="AE104" s="43"/>
      <c r="AF104" s="43"/>
    </row>
    <row r="105" spans="1:32" hidden="1" x14ac:dyDescent="0.25">
      <c r="C105" t="s">
        <v>23</v>
      </c>
      <c r="D105" s="7">
        <f>'2 Confluence Parkway'!D69</f>
        <v>5400000</v>
      </c>
      <c r="E105" s="145"/>
      <c r="F105" s="27"/>
      <c r="G105" s="53"/>
      <c r="H105" s="65"/>
      <c r="I105" s="53"/>
      <c r="J105" s="53"/>
      <c r="K105" s="53"/>
      <c r="L105" s="53"/>
      <c r="M105" s="53"/>
      <c r="N105" s="53"/>
      <c r="O105" s="53"/>
      <c r="P105" s="212">
        <f t="shared" si="2"/>
        <v>5400000</v>
      </c>
      <c r="Q105" s="212">
        <f t="shared" si="3"/>
        <v>0</v>
      </c>
      <c r="R105" s="151"/>
      <c r="S105" s="212"/>
      <c r="T105" s="212">
        <f t="shared" si="0"/>
        <v>0</v>
      </c>
      <c r="U105" s="214"/>
      <c r="V105" s="62">
        <f t="shared" si="4"/>
        <v>-5400000</v>
      </c>
      <c r="AB105" s="43"/>
      <c r="AC105" s="43"/>
      <c r="AD105" s="43"/>
      <c r="AE105" s="43"/>
      <c r="AF105" s="43"/>
    </row>
    <row r="106" spans="1:32" hidden="1" x14ac:dyDescent="0.25">
      <c r="C106" t="s">
        <v>40</v>
      </c>
      <c r="D106" s="7">
        <f>'2 Confluence Parkway'!D70</f>
        <v>2760000</v>
      </c>
      <c r="E106" s="145"/>
      <c r="F106" s="27"/>
      <c r="G106" s="53"/>
      <c r="H106" s="65"/>
      <c r="I106" s="53"/>
      <c r="J106" s="53"/>
      <c r="K106" s="53"/>
      <c r="L106" s="53"/>
      <c r="M106" s="53"/>
      <c r="N106" s="53"/>
      <c r="O106" s="53"/>
      <c r="P106" s="212">
        <f t="shared" si="2"/>
        <v>2760000</v>
      </c>
      <c r="Q106" s="212">
        <f t="shared" si="3"/>
        <v>0</v>
      </c>
      <c r="R106" s="151"/>
      <c r="S106" s="212"/>
      <c r="T106" s="212">
        <f t="shared" si="0"/>
        <v>0</v>
      </c>
      <c r="U106" s="214"/>
      <c r="V106" s="62">
        <f t="shared" si="4"/>
        <v>-2760000</v>
      </c>
      <c r="AB106" s="43"/>
      <c r="AC106" s="43"/>
      <c r="AD106" s="43"/>
      <c r="AE106" s="43"/>
      <c r="AF106" s="43"/>
    </row>
    <row r="107" spans="1:32" x14ac:dyDescent="0.25">
      <c r="D107" s="7"/>
      <c r="E107" s="145"/>
      <c r="F107" s="27"/>
      <c r="G107" s="53"/>
      <c r="H107" s="65"/>
      <c r="I107" s="137"/>
      <c r="J107" s="137"/>
      <c r="K107" s="137"/>
      <c r="L107" s="137"/>
      <c r="M107" s="137"/>
      <c r="N107" s="137"/>
      <c r="O107" s="137"/>
      <c r="P107" s="212">
        <f t="shared" si="2"/>
        <v>0</v>
      </c>
      <c r="Q107" s="212">
        <f t="shared" si="3"/>
        <v>0</v>
      </c>
      <c r="R107" s="151"/>
      <c r="S107" s="212"/>
      <c r="T107" s="212"/>
      <c r="U107" s="214"/>
      <c r="V107" s="62">
        <f t="shared" si="4"/>
        <v>0</v>
      </c>
      <c r="AB107" s="43"/>
      <c r="AC107" s="43"/>
      <c r="AD107" s="43"/>
      <c r="AE107" s="43"/>
      <c r="AF107" s="43"/>
    </row>
    <row r="108" spans="1:32" x14ac:dyDescent="0.25">
      <c r="A108" s="2" t="s">
        <v>55</v>
      </c>
      <c r="B108" s="2"/>
      <c r="C108" s="2"/>
      <c r="D108" s="39">
        <f>D110+D119</f>
        <v>16364756</v>
      </c>
      <c r="E108" s="144">
        <f>E110+E119</f>
        <v>17242134</v>
      </c>
      <c r="F108" s="83">
        <f>F110+F119</f>
        <v>16364756</v>
      </c>
      <c r="G108" s="66">
        <f>G110+G119</f>
        <v>0</v>
      </c>
      <c r="H108" s="65"/>
      <c r="I108" s="66"/>
      <c r="J108" s="66"/>
      <c r="K108" s="66"/>
      <c r="L108" s="66"/>
      <c r="M108" s="66"/>
      <c r="N108" s="66"/>
      <c r="O108" s="66" t="s">
        <v>55</v>
      </c>
      <c r="P108" s="212">
        <f t="shared" si="2"/>
        <v>16364756</v>
      </c>
      <c r="Q108" s="221">
        <f t="shared" si="3"/>
        <v>16364756</v>
      </c>
      <c r="R108" s="153"/>
      <c r="S108" s="212"/>
      <c r="T108" s="212">
        <f t="shared" si="0"/>
        <v>16364756</v>
      </c>
      <c r="U108" s="214"/>
      <c r="V108" s="62">
        <f t="shared" si="4"/>
        <v>0</v>
      </c>
      <c r="AB108" s="43"/>
      <c r="AC108" s="43"/>
      <c r="AD108" s="43"/>
      <c r="AE108" s="43"/>
      <c r="AF108" s="43"/>
    </row>
    <row r="109" spans="1:32" hidden="1" x14ac:dyDescent="0.25">
      <c r="D109" s="7"/>
      <c r="E109" s="145"/>
      <c r="F109" s="27"/>
      <c r="G109" s="53"/>
      <c r="H109" s="65"/>
      <c r="I109" s="137"/>
      <c r="J109" s="137"/>
      <c r="K109" s="137"/>
      <c r="L109" s="137"/>
      <c r="M109" s="137"/>
      <c r="N109" s="137"/>
      <c r="O109" s="137"/>
      <c r="P109" s="212">
        <f t="shared" si="2"/>
        <v>0</v>
      </c>
      <c r="Q109" s="212">
        <f t="shared" si="3"/>
        <v>0</v>
      </c>
      <c r="R109" s="151"/>
      <c r="S109" s="212"/>
      <c r="T109" s="212">
        <f t="shared" si="0"/>
        <v>0</v>
      </c>
      <c r="U109" s="214"/>
      <c r="V109" s="62">
        <f t="shared" si="4"/>
        <v>0</v>
      </c>
      <c r="AB109" s="43"/>
      <c r="AC109" s="43"/>
      <c r="AD109" s="43"/>
      <c r="AE109" s="43"/>
      <c r="AF109" s="43"/>
    </row>
    <row r="110" spans="1:32" x14ac:dyDescent="0.25">
      <c r="B110" t="s">
        <v>54</v>
      </c>
      <c r="D110" s="16">
        <f>'3 Cascade Int'!D45</f>
        <v>16364756</v>
      </c>
      <c r="E110" s="146">
        <f>'3 Cascade Int'!E45</f>
        <v>16628838</v>
      </c>
      <c r="F110" s="79">
        <f>'3 Cascade Int'!D33</f>
        <v>16364756</v>
      </c>
      <c r="G110" s="53">
        <f>D110-F110</f>
        <v>0</v>
      </c>
      <c r="H110" s="65"/>
      <c r="I110" s="141"/>
      <c r="J110" s="141"/>
      <c r="K110" s="53"/>
      <c r="L110" s="53"/>
      <c r="M110" s="53"/>
      <c r="N110" s="53"/>
      <c r="O110" t="s">
        <v>54</v>
      </c>
      <c r="P110" s="212">
        <f t="shared" si="2"/>
        <v>16364756</v>
      </c>
      <c r="Q110" s="212">
        <f t="shared" si="3"/>
        <v>16364756</v>
      </c>
      <c r="R110" s="151"/>
      <c r="S110" s="212"/>
      <c r="T110" s="212">
        <f t="shared" si="0"/>
        <v>16364756</v>
      </c>
      <c r="U110" s="214"/>
      <c r="V110" s="62">
        <f t="shared" si="4"/>
        <v>0</v>
      </c>
      <c r="AB110" s="43"/>
      <c r="AC110" s="43"/>
      <c r="AD110" s="43"/>
      <c r="AE110" s="43"/>
      <c r="AF110" s="43"/>
    </row>
    <row r="111" spans="1:32" hidden="1" x14ac:dyDescent="0.25">
      <c r="C111" t="s">
        <v>20</v>
      </c>
      <c r="D111" s="16">
        <f>'3 Cascade Int'!D47</f>
        <v>1072179</v>
      </c>
      <c r="E111" s="146">
        <f>'3 Cascade Int'!E47</f>
        <v>1336261</v>
      </c>
      <c r="F111" s="79"/>
      <c r="G111" s="53"/>
      <c r="H111" s="65"/>
      <c r="I111" s="53"/>
      <c r="J111" s="53"/>
      <c r="K111" s="53"/>
      <c r="L111" s="53"/>
      <c r="M111" s="53"/>
      <c r="N111" s="53"/>
      <c r="P111" s="212">
        <f t="shared" si="2"/>
        <v>1072179</v>
      </c>
      <c r="Q111" s="212">
        <f t="shared" si="3"/>
        <v>0</v>
      </c>
      <c r="R111" s="151"/>
      <c r="S111" s="212"/>
      <c r="T111" s="212">
        <f t="shared" si="0"/>
        <v>0</v>
      </c>
      <c r="U111" s="214"/>
      <c r="V111" s="62">
        <f t="shared" si="4"/>
        <v>-1072179</v>
      </c>
      <c r="AB111" s="43"/>
      <c r="AC111" s="43"/>
      <c r="AD111" s="43"/>
      <c r="AE111" s="43"/>
      <c r="AF111" s="43"/>
    </row>
    <row r="112" spans="1:32" hidden="1" x14ac:dyDescent="0.25">
      <c r="C112" t="s">
        <v>21</v>
      </c>
      <c r="D112" s="16">
        <f>'3 Cascade Int'!D48</f>
        <v>269638</v>
      </c>
      <c r="E112" s="146">
        <f>'3 Cascade Int'!E48</f>
        <v>269638</v>
      </c>
      <c r="F112" s="79"/>
      <c r="G112" s="53"/>
      <c r="H112" s="65"/>
      <c r="I112" s="53"/>
      <c r="J112" s="53"/>
      <c r="K112" s="53"/>
      <c r="L112" s="53"/>
      <c r="M112" s="53"/>
      <c r="N112" s="53"/>
      <c r="P112" s="212">
        <f t="shared" si="2"/>
        <v>269638</v>
      </c>
      <c r="Q112" s="212">
        <f t="shared" si="3"/>
        <v>0</v>
      </c>
      <c r="R112" s="151"/>
      <c r="S112" s="212"/>
      <c r="T112" s="212">
        <f t="shared" si="0"/>
        <v>0</v>
      </c>
      <c r="U112" s="214"/>
      <c r="V112" s="62">
        <f t="shared" si="4"/>
        <v>-269638</v>
      </c>
      <c r="AB112" s="43"/>
      <c r="AC112" s="43"/>
      <c r="AD112" s="43"/>
      <c r="AE112" s="43"/>
      <c r="AF112" s="43"/>
    </row>
    <row r="113" spans="1:32" hidden="1" x14ac:dyDescent="0.25">
      <c r="C113" t="s">
        <v>22</v>
      </c>
      <c r="D113" s="16">
        <f>'3 Cascade Int'!D49</f>
        <v>0</v>
      </c>
      <c r="E113" s="146">
        <f>'3 Cascade Int'!E49</f>
        <v>0</v>
      </c>
      <c r="F113" s="79"/>
      <c r="G113" s="53"/>
      <c r="H113" s="65"/>
      <c r="I113" s="53"/>
      <c r="J113" s="53"/>
      <c r="K113" s="53"/>
      <c r="L113" s="53"/>
      <c r="M113" s="53"/>
      <c r="N113" s="53"/>
      <c r="P113" s="212">
        <f t="shared" si="2"/>
        <v>0</v>
      </c>
      <c r="Q113" s="212">
        <f t="shared" si="3"/>
        <v>0</v>
      </c>
      <c r="R113" s="151"/>
      <c r="S113" s="212"/>
      <c r="T113" s="212">
        <f t="shared" si="0"/>
        <v>0</v>
      </c>
      <c r="U113" s="214"/>
      <c r="V113" s="62">
        <f t="shared" si="4"/>
        <v>0</v>
      </c>
      <c r="AB113" s="43"/>
      <c r="AC113" s="43"/>
      <c r="AD113" s="43"/>
      <c r="AE113" s="43"/>
      <c r="AF113" s="43"/>
    </row>
    <row r="114" spans="1:32" hidden="1" x14ac:dyDescent="0.25">
      <c r="C114" t="s">
        <v>37</v>
      </c>
      <c r="D114" s="16">
        <f>'3 Cascade Int'!D50</f>
        <v>1421912</v>
      </c>
      <c r="E114" s="146">
        <f>'3 Cascade Int'!E50</f>
        <v>1421912</v>
      </c>
      <c r="F114" s="79"/>
      <c r="G114" s="53"/>
      <c r="H114" s="65"/>
      <c r="I114" s="53"/>
      <c r="J114" s="53"/>
      <c r="K114" s="53"/>
      <c r="L114" s="53"/>
      <c r="M114" s="53"/>
      <c r="N114" s="53"/>
      <c r="P114" s="212">
        <f t="shared" si="2"/>
        <v>1421912</v>
      </c>
      <c r="Q114" s="212">
        <f t="shared" si="3"/>
        <v>0</v>
      </c>
      <c r="R114" s="151"/>
      <c r="S114" s="212"/>
      <c r="T114" s="212">
        <f t="shared" si="0"/>
        <v>0</v>
      </c>
      <c r="U114" s="214"/>
      <c r="V114" s="62">
        <f t="shared" si="4"/>
        <v>-1421912</v>
      </c>
      <c r="AB114" s="43"/>
      <c r="AC114" s="43"/>
      <c r="AD114" s="43"/>
      <c r="AE114" s="43"/>
      <c r="AF114" s="43"/>
    </row>
    <row r="115" spans="1:32" hidden="1" x14ac:dyDescent="0.25">
      <c r="C115" t="s">
        <v>23</v>
      </c>
      <c r="D115" s="16">
        <f>'3 Cascade Int'!D51</f>
        <v>12179115</v>
      </c>
      <c r="E115" s="146">
        <f>'3 Cascade Int'!E51</f>
        <v>12179115</v>
      </c>
      <c r="F115" s="79"/>
      <c r="G115" s="53"/>
      <c r="H115" s="65"/>
      <c r="I115" s="53"/>
      <c r="J115" s="53"/>
      <c r="K115" s="53"/>
      <c r="L115" s="53"/>
      <c r="M115" s="53"/>
      <c r="N115" s="53"/>
      <c r="P115" s="212">
        <f t="shared" si="2"/>
        <v>12179115</v>
      </c>
      <c r="Q115" s="212">
        <f t="shared" si="3"/>
        <v>0</v>
      </c>
      <c r="R115" s="151"/>
      <c r="S115" s="212"/>
      <c r="T115" s="212">
        <f t="shared" ref="T115:T136" si="6">SUM(Q115:S115)</f>
        <v>0</v>
      </c>
      <c r="U115" s="214"/>
      <c r="V115" s="62">
        <f t="shared" si="4"/>
        <v>-12179115</v>
      </c>
      <c r="AB115" s="43"/>
      <c r="AC115" s="43"/>
      <c r="AD115" s="43"/>
      <c r="AE115" s="43"/>
      <c r="AF115" s="43"/>
    </row>
    <row r="116" spans="1:32" hidden="1" x14ac:dyDescent="0.25">
      <c r="C116" t="s">
        <v>39</v>
      </c>
      <c r="D116" s="16">
        <f>'3 Cascade Int'!D52</f>
        <v>1421912</v>
      </c>
      <c r="E116" s="146">
        <f>'3 Cascade Int'!E52</f>
        <v>1421912</v>
      </c>
      <c r="F116" s="79"/>
      <c r="G116" s="53"/>
      <c r="H116" s="65"/>
      <c r="I116" s="53"/>
      <c r="J116" s="53"/>
      <c r="K116" s="53"/>
      <c r="L116" s="53"/>
      <c r="M116" s="53"/>
      <c r="N116" s="53"/>
      <c r="P116" s="212">
        <f t="shared" si="2"/>
        <v>1421912</v>
      </c>
      <c r="Q116" s="212">
        <f t="shared" si="3"/>
        <v>0</v>
      </c>
      <c r="R116" s="151"/>
      <c r="S116" s="212"/>
      <c r="T116" s="212">
        <f t="shared" si="6"/>
        <v>0</v>
      </c>
      <c r="U116" s="214"/>
      <c r="V116" s="62">
        <f t="shared" si="4"/>
        <v>-1421912</v>
      </c>
      <c r="AB116" s="43"/>
      <c r="AC116" s="43"/>
      <c r="AD116" s="43"/>
      <c r="AE116" s="43"/>
      <c r="AF116" s="43"/>
    </row>
    <row r="117" spans="1:32" hidden="1" x14ac:dyDescent="0.25">
      <c r="D117" s="16"/>
      <c r="E117" s="146"/>
      <c r="F117" s="79"/>
      <c r="G117" s="53"/>
      <c r="H117" s="65"/>
      <c r="I117" s="53"/>
      <c r="J117" s="53"/>
      <c r="K117" s="53"/>
      <c r="L117" s="53"/>
      <c r="M117" s="53"/>
      <c r="N117" s="53"/>
      <c r="P117" s="212">
        <f t="shared" ref="P117:P135" si="7">+D117</f>
        <v>0</v>
      </c>
      <c r="Q117" s="212">
        <f t="shared" si="3"/>
        <v>0</v>
      </c>
      <c r="R117" s="151"/>
      <c r="S117" s="212"/>
      <c r="T117" s="212">
        <f t="shared" si="6"/>
        <v>0</v>
      </c>
      <c r="U117" s="214"/>
      <c r="V117" s="62">
        <f t="shared" si="4"/>
        <v>0</v>
      </c>
      <c r="AB117" s="43"/>
      <c r="AC117" s="43"/>
      <c r="AD117" s="43"/>
      <c r="AE117" s="43"/>
      <c r="AF117" s="43"/>
    </row>
    <row r="118" spans="1:32" hidden="1" x14ac:dyDescent="0.25">
      <c r="D118" s="16"/>
      <c r="E118" s="146"/>
      <c r="F118" s="79"/>
      <c r="G118" s="53"/>
      <c r="H118" s="65"/>
      <c r="I118" s="137"/>
      <c r="J118" s="137"/>
      <c r="K118" s="137"/>
      <c r="L118" s="137"/>
      <c r="M118" s="137"/>
      <c r="N118" s="137"/>
      <c r="P118" s="212">
        <f t="shared" si="7"/>
        <v>0</v>
      </c>
      <c r="Q118" s="212">
        <f t="shared" si="3"/>
        <v>0</v>
      </c>
      <c r="R118" s="151"/>
      <c r="S118" s="212"/>
      <c r="T118" s="212">
        <f t="shared" si="6"/>
        <v>0</v>
      </c>
      <c r="U118" s="214"/>
      <c r="V118" s="62">
        <f t="shared" si="4"/>
        <v>0</v>
      </c>
      <c r="AB118" s="43"/>
      <c r="AC118" s="43"/>
      <c r="AD118" s="43"/>
      <c r="AE118" s="43"/>
      <c r="AF118" s="43"/>
    </row>
    <row r="119" spans="1:32" x14ac:dyDescent="0.25">
      <c r="B119" t="s">
        <v>53</v>
      </c>
      <c r="C119" t="s">
        <v>57</v>
      </c>
      <c r="D119" s="16">
        <f>'3 Cascade Int'!D55</f>
        <v>0</v>
      </c>
      <c r="E119" s="146">
        <f>'3 Cascade Int'!E55</f>
        <v>613296</v>
      </c>
      <c r="F119" s="79">
        <v>0</v>
      </c>
      <c r="G119" s="53">
        <f>D119-F119</f>
        <v>0</v>
      </c>
      <c r="H119" s="65"/>
      <c r="I119" s="53"/>
      <c r="J119" s="141"/>
      <c r="K119" s="53"/>
      <c r="L119" s="53"/>
      <c r="M119" s="53"/>
      <c r="N119" s="53"/>
      <c r="O119" t="s">
        <v>191</v>
      </c>
      <c r="P119" s="212">
        <f t="shared" si="7"/>
        <v>0</v>
      </c>
      <c r="Q119" s="212">
        <f t="shared" si="3"/>
        <v>0</v>
      </c>
      <c r="R119" s="151"/>
      <c r="S119" s="212"/>
      <c r="T119" s="212"/>
      <c r="U119" s="214"/>
      <c r="V119" s="62">
        <f t="shared" si="4"/>
        <v>0</v>
      </c>
      <c r="AB119" s="43"/>
      <c r="AC119" s="43"/>
      <c r="AD119" s="43"/>
      <c r="AE119" s="43"/>
      <c r="AF119" s="43"/>
    </row>
    <row r="120" spans="1:32" hidden="1" x14ac:dyDescent="0.25">
      <c r="C120" t="s">
        <v>20</v>
      </c>
      <c r="D120" s="16">
        <f>'3 Cascade Int'!D57</f>
        <v>0</v>
      </c>
      <c r="E120" s="146">
        <f>'3 Cascade Int'!E57</f>
        <v>502992</v>
      </c>
      <c r="F120" s="79"/>
      <c r="G120" s="53"/>
      <c r="H120" s="65"/>
      <c r="I120" s="53"/>
      <c r="J120" s="53"/>
      <c r="K120" s="53"/>
      <c r="L120" s="53"/>
      <c r="M120" s="53"/>
      <c r="N120" s="53"/>
      <c r="O120" s="53"/>
      <c r="P120" s="212">
        <f t="shared" si="7"/>
        <v>0</v>
      </c>
      <c r="Q120" s="212">
        <f t="shared" si="3"/>
        <v>0</v>
      </c>
      <c r="R120" s="151"/>
      <c r="S120" s="212"/>
      <c r="T120" s="212"/>
      <c r="U120" s="214"/>
      <c r="V120" s="62">
        <f t="shared" si="4"/>
        <v>0</v>
      </c>
      <c r="AB120" s="43"/>
      <c r="AC120" s="43"/>
      <c r="AD120" s="43"/>
      <c r="AE120" s="43"/>
      <c r="AF120" s="43"/>
    </row>
    <row r="121" spans="1:32" hidden="1" x14ac:dyDescent="0.25">
      <c r="C121" t="s">
        <v>21</v>
      </c>
      <c r="D121" s="16">
        <f>'3 Cascade Int'!D58</f>
        <v>0</v>
      </c>
      <c r="E121" s="146">
        <f>'3 Cascade Int'!E58</f>
        <v>0</v>
      </c>
      <c r="F121" s="79"/>
      <c r="G121" s="53"/>
      <c r="H121" s="65"/>
      <c r="I121" s="53"/>
      <c r="J121" s="53"/>
      <c r="K121" s="53"/>
      <c r="L121" s="53"/>
      <c r="M121" s="53"/>
      <c r="N121" s="53"/>
      <c r="O121" s="53"/>
      <c r="P121" s="212">
        <f t="shared" si="7"/>
        <v>0</v>
      </c>
      <c r="Q121" s="212">
        <f t="shared" si="3"/>
        <v>0</v>
      </c>
      <c r="R121" s="151"/>
      <c r="S121" s="212"/>
      <c r="T121" s="212"/>
      <c r="U121" s="214"/>
      <c r="V121" s="62">
        <f t="shared" si="4"/>
        <v>0</v>
      </c>
      <c r="AB121" s="43"/>
      <c r="AC121" s="43"/>
      <c r="AD121" s="43"/>
      <c r="AE121" s="43"/>
      <c r="AF121" s="43"/>
    </row>
    <row r="122" spans="1:32" hidden="1" x14ac:dyDescent="0.25">
      <c r="C122" t="s">
        <v>22</v>
      </c>
      <c r="D122" s="16">
        <f>'3 Cascade Int'!D59</f>
        <v>0</v>
      </c>
      <c r="E122" s="146">
        <f>'3 Cascade Int'!E59</f>
        <v>110304</v>
      </c>
      <c r="F122" s="79"/>
      <c r="G122" s="53"/>
      <c r="H122" s="65"/>
      <c r="I122" s="53"/>
      <c r="J122" s="53"/>
      <c r="K122" s="53"/>
      <c r="L122" s="53"/>
      <c r="M122" s="53"/>
      <c r="N122" s="53"/>
      <c r="O122" s="53"/>
      <c r="P122" s="212">
        <f t="shared" si="7"/>
        <v>0</v>
      </c>
      <c r="Q122" s="212">
        <f t="shared" si="3"/>
        <v>0</v>
      </c>
      <c r="R122" s="151"/>
      <c r="S122" s="212"/>
      <c r="T122" s="212"/>
      <c r="U122" s="214"/>
      <c r="V122" s="62">
        <f t="shared" si="4"/>
        <v>0</v>
      </c>
      <c r="AB122" s="43"/>
      <c r="AC122" s="43"/>
      <c r="AD122" s="43"/>
      <c r="AE122" s="43"/>
      <c r="AF122" s="43"/>
    </row>
    <row r="123" spans="1:32" hidden="1" x14ac:dyDescent="0.25">
      <c r="C123" t="s">
        <v>37</v>
      </c>
      <c r="D123" s="16">
        <f>'3 Cascade Int'!D60</f>
        <v>0</v>
      </c>
      <c r="E123" s="146">
        <f>'3 Cascade Int'!E60</f>
        <v>0</v>
      </c>
      <c r="F123" s="79"/>
      <c r="G123" s="53"/>
      <c r="H123" s="65"/>
      <c r="I123" s="53"/>
      <c r="J123" s="53"/>
      <c r="K123" s="53"/>
      <c r="L123" s="53"/>
      <c r="M123" s="53"/>
      <c r="N123" s="53"/>
      <c r="O123" s="53"/>
      <c r="P123" s="212">
        <f t="shared" si="7"/>
        <v>0</v>
      </c>
      <c r="Q123" s="212">
        <f t="shared" si="3"/>
        <v>0</v>
      </c>
      <c r="R123" s="151"/>
      <c r="S123" s="212"/>
      <c r="T123" s="212"/>
      <c r="U123" s="214"/>
      <c r="V123" s="62">
        <f t="shared" si="4"/>
        <v>0</v>
      </c>
      <c r="AB123" s="43"/>
      <c r="AC123" s="43"/>
      <c r="AD123" s="43"/>
      <c r="AE123" s="43"/>
      <c r="AF123" s="43"/>
    </row>
    <row r="124" spans="1:32" hidden="1" x14ac:dyDescent="0.25">
      <c r="C124" t="s">
        <v>23</v>
      </c>
      <c r="D124" s="16">
        <f>'3 Cascade Int'!D61</f>
        <v>0</v>
      </c>
      <c r="E124" s="146">
        <f>'3 Cascade Int'!E61</f>
        <v>0</v>
      </c>
      <c r="F124" s="79"/>
      <c r="G124" s="53"/>
      <c r="H124" s="65"/>
      <c r="I124" s="53"/>
      <c r="J124" s="53"/>
      <c r="K124" s="53"/>
      <c r="L124" s="53"/>
      <c r="M124" s="53"/>
      <c r="N124" s="53"/>
      <c r="O124" s="53"/>
      <c r="P124" s="212">
        <f t="shared" si="7"/>
        <v>0</v>
      </c>
      <c r="Q124" s="212">
        <f t="shared" si="3"/>
        <v>0</v>
      </c>
      <c r="R124" s="151"/>
      <c r="S124" s="212"/>
      <c r="T124" s="212"/>
      <c r="U124" s="214"/>
      <c r="V124" s="62">
        <f t="shared" si="4"/>
        <v>0</v>
      </c>
      <c r="AB124" s="43"/>
      <c r="AC124" s="43"/>
      <c r="AD124" s="43"/>
      <c r="AE124" s="43"/>
      <c r="AF124" s="43"/>
    </row>
    <row r="125" spans="1:32" hidden="1" x14ac:dyDescent="0.25">
      <c r="C125" t="s">
        <v>39</v>
      </c>
      <c r="D125" s="16">
        <f>'3 Cascade Int'!D62</f>
        <v>0</v>
      </c>
      <c r="E125" s="146">
        <f>'3 Cascade Int'!E62</f>
        <v>0</v>
      </c>
      <c r="F125" s="79"/>
      <c r="G125" s="53"/>
      <c r="H125" s="65"/>
      <c r="I125" s="53"/>
      <c r="J125" s="53"/>
      <c r="K125" s="53"/>
      <c r="L125" s="53"/>
      <c r="M125" s="53"/>
      <c r="N125" s="53"/>
      <c r="O125" s="53"/>
      <c r="P125" s="212">
        <f t="shared" si="7"/>
        <v>0</v>
      </c>
      <c r="Q125" s="212">
        <f t="shared" si="3"/>
        <v>0</v>
      </c>
      <c r="R125" s="151"/>
      <c r="S125" s="212"/>
      <c r="T125" s="212"/>
      <c r="U125" s="214"/>
      <c r="V125" s="62">
        <f t="shared" si="4"/>
        <v>0</v>
      </c>
      <c r="AB125" s="43"/>
      <c r="AC125" s="43"/>
      <c r="AD125" s="43"/>
      <c r="AE125" s="43"/>
      <c r="AF125" s="43"/>
    </row>
    <row r="126" spans="1:32" hidden="1" x14ac:dyDescent="0.25">
      <c r="D126" s="16"/>
      <c r="E126" s="146"/>
      <c r="F126" s="79"/>
      <c r="G126" s="53"/>
      <c r="H126" s="65"/>
      <c r="I126" s="53"/>
      <c r="J126" s="53"/>
      <c r="K126" s="53"/>
      <c r="L126" s="53"/>
      <c r="M126" s="53"/>
      <c r="N126" s="53"/>
      <c r="O126" s="53"/>
      <c r="P126" s="212">
        <f t="shared" si="7"/>
        <v>0</v>
      </c>
      <c r="Q126" s="212">
        <f t="shared" ref="Q126:Q135" si="8">+F126</f>
        <v>0</v>
      </c>
      <c r="R126" s="151"/>
      <c r="S126" s="212"/>
      <c r="T126" s="212"/>
      <c r="U126" s="214"/>
      <c r="V126" s="62">
        <f t="shared" si="4"/>
        <v>0</v>
      </c>
      <c r="AB126" s="43"/>
      <c r="AC126" s="43"/>
      <c r="AD126" s="43"/>
      <c r="AE126" s="43"/>
      <c r="AF126" s="43"/>
    </row>
    <row r="127" spans="1:32" x14ac:dyDescent="0.25">
      <c r="D127" s="16"/>
      <c r="E127" s="146"/>
      <c r="F127" s="79"/>
      <c r="G127" s="53"/>
      <c r="H127" s="65"/>
      <c r="I127" s="137"/>
      <c r="J127" s="137"/>
      <c r="K127" s="137"/>
      <c r="L127" s="137"/>
      <c r="M127" s="137"/>
      <c r="N127" s="137"/>
      <c r="O127" s="137"/>
      <c r="P127" s="212">
        <f t="shared" si="7"/>
        <v>0</v>
      </c>
      <c r="Q127" s="212">
        <f t="shared" si="8"/>
        <v>0</v>
      </c>
      <c r="R127" s="151"/>
      <c r="S127" s="212"/>
      <c r="T127" s="212"/>
      <c r="U127" s="214"/>
      <c r="V127" s="62">
        <f t="shared" si="4"/>
        <v>0</v>
      </c>
      <c r="AB127" s="43"/>
      <c r="AC127" s="43"/>
      <c r="AD127" s="43"/>
      <c r="AE127" s="43"/>
      <c r="AF127" s="43"/>
    </row>
    <row r="128" spans="1:32" x14ac:dyDescent="0.25">
      <c r="A128" s="2" t="s">
        <v>291</v>
      </c>
      <c r="B128" s="2"/>
      <c r="C128" s="2"/>
      <c r="D128" s="40">
        <f>'4 Sunset Highway'!D43</f>
        <v>55857089</v>
      </c>
      <c r="E128" s="121">
        <f>'4 Sunset Highway'!E43</f>
        <v>66122010</v>
      </c>
      <c r="F128" s="140">
        <v>0</v>
      </c>
      <c r="G128" s="138">
        <f>D128-F128</f>
        <v>55857089</v>
      </c>
      <c r="H128" s="65"/>
      <c r="I128" s="138"/>
      <c r="J128" s="138"/>
      <c r="K128" s="138"/>
      <c r="L128" s="138"/>
      <c r="M128" s="138"/>
      <c r="N128" s="138"/>
      <c r="O128" s="2" t="s">
        <v>291</v>
      </c>
      <c r="P128" s="212">
        <f t="shared" si="7"/>
        <v>55857089</v>
      </c>
      <c r="Q128" s="212">
        <f t="shared" si="8"/>
        <v>0</v>
      </c>
      <c r="R128" s="151">
        <f>+'Independent Utility'!G126</f>
        <v>55857089</v>
      </c>
      <c r="S128" s="212"/>
      <c r="T128" s="212">
        <f t="shared" si="6"/>
        <v>55857089</v>
      </c>
      <c r="U128" s="214"/>
      <c r="V128" s="62">
        <f t="shared" si="4"/>
        <v>0</v>
      </c>
      <c r="AB128" s="43"/>
      <c r="AC128" s="43"/>
      <c r="AD128" s="43"/>
      <c r="AE128" s="43"/>
      <c r="AF128" s="43"/>
    </row>
    <row r="129" spans="1:32" hidden="1" x14ac:dyDescent="0.25">
      <c r="C129" t="s">
        <v>20</v>
      </c>
      <c r="D129" s="16">
        <f>'4 Sunset Highway'!D45</f>
        <v>6357087</v>
      </c>
      <c r="E129" s="16"/>
      <c r="F129" s="78"/>
      <c r="G129" s="53"/>
      <c r="H129" s="65"/>
      <c r="I129" s="53"/>
      <c r="J129" s="53"/>
      <c r="K129" s="53"/>
      <c r="L129" s="53"/>
      <c r="M129" s="53"/>
      <c r="N129" s="53"/>
      <c r="O129" s="53"/>
      <c r="P129" s="212">
        <f t="shared" si="7"/>
        <v>6357087</v>
      </c>
      <c r="Q129" s="212">
        <f t="shared" si="8"/>
        <v>0</v>
      </c>
      <c r="R129" s="151"/>
      <c r="S129" s="212"/>
      <c r="T129" s="212">
        <f t="shared" si="6"/>
        <v>0</v>
      </c>
      <c r="U129" s="214"/>
      <c r="V129" s="62">
        <f t="shared" si="4"/>
        <v>-6357087</v>
      </c>
      <c r="AB129" s="43"/>
      <c r="AC129" s="43"/>
      <c r="AD129" s="43"/>
      <c r="AE129" s="43"/>
      <c r="AF129" s="43"/>
    </row>
    <row r="130" spans="1:32" hidden="1" x14ac:dyDescent="0.25">
      <c r="C130" t="s">
        <v>21</v>
      </c>
      <c r="D130" s="16">
        <f>'4 Sunset Highway'!D46</f>
        <v>0</v>
      </c>
      <c r="E130" s="16"/>
      <c r="F130" s="78"/>
      <c r="G130" s="53"/>
      <c r="H130" s="65"/>
      <c r="I130" s="53"/>
      <c r="J130" s="53"/>
      <c r="K130" s="53"/>
      <c r="L130" s="53"/>
      <c r="M130" s="53"/>
      <c r="N130" s="53"/>
      <c r="O130" s="53"/>
      <c r="P130" s="212">
        <f t="shared" si="7"/>
        <v>0</v>
      </c>
      <c r="Q130" s="212">
        <f t="shared" si="8"/>
        <v>0</v>
      </c>
      <c r="R130" s="151"/>
      <c r="S130" s="212"/>
      <c r="T130" s="212">
        <f t="shared" si="6"/>
        <v>0</v>
      </c>
      <c r="U130" s="214"/>
      <c r="V130" s="62">
        <f t="shared" si="4"/>
        <v>0</v>
      </c>
      <c r="AB130" s="43"/>
      <c r="AC130" s="43"/>
      <c r="AD130" s="43"/>
      <c r="AE130" s="43"/>
      <c r="AF130" s="43"/>
    </row>
    <row r="131" spans="1:32" hidden="1" x14ac:dyDescent="0.25">
      <c r="C131" t="s">
        <v>22</v>
      </c>
      <c r="D131" s="16">
        <f>'4 Sunset Highway'!D47</f>
        <v>18500002</v>
      </c>
      <c r="E131" s="16"/>
      <c r="F131" s="78"/>
      <c r="G131" s="53"/>
      <c r="H131" s="65"/>
      <c r="I131" s="53"/>
      <c r="J131" s="53"/>
      <c r="K131" s="53"/>
      <c r="L131" s="53"/>
      <c r="M131" s="53"/>
      <c r="N131" s="53"/>
      <c r="O131" s="53"/>
      <c r="P131" s="212">
        <f t="shared" si="7"/>
        <v>18500002</v>
      </c>
      <c r="Q131" s="212">
        <f t="shared" si="8"/>
        <v>0</v>
      </c>
      <c r="R131" s="151"/>
      <c r="S131" s="212"/>
      <c r="T131" s="212">
        <f t="shared" si="6"/>
        <v>0</v>
      </c>
      <c r="U131" s="214"/>
      <c r="V131" s="62">
        <f t="shared" si="4"/>
        <v>-18500002</v>
      </c>
      <c r="AB131" s="43"/>
      <c r="AC131" s="43"/>
      <c r="AD131" s="43"/>
      <c r="AE131" s="43"/>
      <c r="AF131" s="43"/>
    </row>
    <row r="132" spans="1:32" hidden="1" x14ac:dyDescent="0.25">
      <c r="C132" t="s">
        <v>37</v>
      </c>
      <c r="D132" s="16">
        <f>'4 Sunset Highway'!D48</f>
        <v>4650000</v>
      </c>
      <c r="E132" s="16"/>
      <c r="F132" s="78"/>
      <c r="G132" s="53"/>
      <c r="H132" s="65"/>
      <c r="I132" s="53"/>
      <c r="J132" s="53"/>
      <c r="K132" s="53"/>
      <c r="L132" s="53"/>
      <c r="M132" s="53"/>
      <c r="N132" s="53"/>
      <c r="O132" s="53"/>
      <c r="P132" s="212">
        <f t="shared" si="7"/>
        <v>4650000</v>
      </c>
      <c r="Q132" s="212">
        <f t="shared" si="8"/>
        <v>0</v>
      </c>
      <c r="R132" s="151"/>
      <c r="S132" s="212"/>
      <c r="T132" s="212">
        <f t="shared" si="6"/>
        <v>0</v>
      </c>
      <c r="U132" s="214"/>
      <c r="V132" s="62">
        <f t="shared" si="4"/>
        <v>-4650000</v>
      </c>
      <c r="AB132" s="43"/>
      <c r="AC132" s="43"/>
      <c r="AD132" s="43"/>
      <c r="AE132" s="43"/>
      <c r="AF132" s="43"/>
    </row>
    <row r="133" spans="1:32" hidden="1" x14ac:dyDescent="0.25">
      <c r="C133" t="s">
        <v>23</v>
      </c>
      <c r="D133" s="16">
        <f>'4 Sunset Highway'!D49</f>
        <v>23250000</v>
      </c>
      <c r="E133" s="16"/>
      <c r="F133" s="78"/>
      <c r="G133" s="53"/>
      <c r="H133" s="65"/>
      <c r="I133" s="53"/>
      <c r="J133" s="53"/>
      <c r="K133" s="53"/>
      <c r="L133" s="53"/>
      <c r="M133" s="53"/>
      <c r="N133" s="53"/>
      <c r="O133" s="53"/>
      <c r="P133" s="212">
        <f t="shared" si="7"/>
        <v>23250000</v>
      </c>
      <c r="Q133" s="212">
        <f t="shared" si="8"/>
        <v>0</v>
      </c>
      <c r="R133" s="151"/>
      <c r="S133" s="212"/>
      <c r="T133" s="212">
        <f t="shared" si="6"/>
        <v>0</v>
      </c>
      <c r="U133" s="214"/>
      <c r="V133" s="62">
        <f t="shared" si="4"/>
        <v>-23250000</v>
      </c>
      <c r="AB133" s="43"/>
      <c r="AC133" s="43"/>
      <c r="AD133" s="43"/>
      <c r="AE133" s="43"/>
      <c r="AF133" s="43"/>
    </row>
    <row r="134" spans="1:32" hidden="1" x14ac:dyDescent="0.25">
      <c r="C134" t="s">
        <v>39</v>
      </c>
      <c r="D134" s="16">
        <f>'4 Sunset Highway'!D50</f>
        <v>3100000</v>
      </c>
      <c r="E134" s="16"/>
      <c r="F134" s="78"/>
      <c r="G134" s="53"/>
      <c r="H134" s="65"/>
      <c r="I134" s="53"/>
      <c r="J134" s="53"/>
      <c r="K134" s="53"/>
      <c r="L134" s="53"/>
      <c r="M134" s="53"/>
      <c r="N134" s="53"/>
      <c r="O134" s="53"/>
      <c r="P134" s="212">
        <f t="shared" si="7"/>
        <v>3100000</v>
      </c>
      <c r="Q134" s="212">
        <f t="shared" si="8"/>
        <v>0</v>
      </c>
      <c r="R134" s="151"/>
      <c r="S134" s="212"/>
      <c r="T134" s="212">
        <f t="shared" si="6"/>
        <v>0</v>
      </c>
      <c r="U134" s="214"/>
      <c r="V134" s="62">
        <f t="shared" si="4"/>
        <v>-3100000</v>
      </c>
      <c r="AB134" s="43"/>
      <c r="AC134" s="43"/>
      <c r="AD134" s="43"/>
      <c r="AE134" s="43"/>
      <c r="AF134" s="43"/>
    </row>
    <row r="135" spans="1:32" x14ac:dyDescent="0.25">
      <c r="D135" s="17"/>
      <c r="E135" s="17"/>
      <c r="F135" s="78"/>
      <c r="G135" s="137"/>
      <c r="H135" s="65"/>
      <c r="I135" s="137"/>
      <c r="J135" s="137"/>
      <c r="K135" s="137"/>
      <c r="L135" s="137"/>
      <c r="M135" s="137"/>
      <c r="N135" s="137"/>
      <c r="P135" s="212">
        <f t="shared" si="7"/>
        <v>0</v>
      </c>
      <c r="Q135" s="212">
        <f t="shared" si="8"/>
        <v>0</v>
      </c>
      <c r="R135" s="151"/>
      <c r="S135" s="212"/>
      <c r="T135" s="212">
        <f t="shared" si="6"/>
        <v>0</v>
      </c>
      <c r="U135" s="214"/>
      <c r="V135" s="62">
        <f t="shared" si="4"/>
        <v>0</v>
      </c>
      <c r="AB135" s="43"/>
      <c r="AC135" s="43"/>
      <c r="AD135" s="43"/>
      <c r="AE135" s="43"/>
      <c r="AF135" s="43"/>
    </row>
    <row r="136" spans="1:32" ht="15.75" thickBot="1" x14ac:dyDescent="0.3">
      <c r="A136" s="89" t="s">
        <v>31</v>
      </c>
      <c r="B136" s="89"/>
      <c r="C136" s="89"/>
      <c r="D136" s="84">
        <f>D128+D108+D80+D50</f>
        <v>262836098</v>
      </c>
      <c r="E136" s="142">
        <f>E128+E108+E80+E50</f>
        <v>286265072.85000002</v>
      </c>
      <c r="F136" s="84">
        <f>F128+F108+F80+F50</f>
        <v>140414116</v>
      </c>
      <c r="G136" s="84">
        <f>G128+G108+G80+G50</f>
        <v>122421982</v>
      </c>
      <c r="H136" s="65"/>
      <c r="I136" s="79"/>
      <c r="J136" s="79"/>
      <c r="K136" s="79"/>
      <c r="L136" s="79"/>
      <c r="M136" s="79"/>
      <c r="N136" s="79"/>
      <c r="O136" s="19"/>
      <c r="P136" s="84">
        <f>P128+P108+P80+P50</f>
        <v>262836098</v>
      </c>
      <c r="Q136" s="84">
        <f>Q128+Q108+Q80+Q50</f>
        <v>140414116</v>
      </c>
      <c r="R136" s="84">
        <f>R128+R108+R80+R50</f>
        <v>90497782</v>
      </c>
      <c r="S136" s="84">
        <f>S128+S108+S80+S50</f>
        <v>31924200</v>
      </c>
      <c r="T136" s="212">
        <f t="shared" si="6"/>
        <v>262836098</v>
      </c>
      <c r="U136" s="214"/>
      <c r="V136" s="62">
        <f t="shared" si="4"/>
        <v>0</v>
      </c>
      <c r="AB136" s="43"/>
      <c r="AC136" s="43"/>
      <c r="AD136" s="43"/>
      <c r="AE136" s="43"/>
      <c r="AF136" s="43"/>
    </row>
    <row r="137" spans="1:32" ht="15.75" thickTop="1" x14ac:dyDescent="0.25">
      <c r="A137" t="s">
        <v>32</v>
      </c>
      <c r="D137" s="17"/>
      <c r="E137" s="17"/>
      <c r="F137" s="78"/>
      <c r="G137" s="79"/>
      <c r="H137" s="78"/>
      <c r="I137" s="79"/>
      <c r="J137" s="79"/>
      <c r="K137" s="79"/>
      <c r="L137" s="79"/>
      <c r="M137" s="79"/>
      <c r="N137" s="79"/>
      <c r="O137" s="79" t="s">
        <v>183</v>
      </c>
      <c r="P137" s="79">
        <f>+F136</f>
        <v>140414116</v>
      </c>
      <c r="Q137" s="79"/>
      <c r="R137" s="79"/>
      <c r="S137" s="79"/>
      <c r="T137" s="79"/>
      <c r="U137" s="79"/>
      <c r="AB137" s="43"/>
      <c r="AC137" s="43"/>
      <c r="AD137" s="43"/>
      <c r="AE137" s="43"/>
      <c r="AF137" s="43"/>
    </row>
    <row r="138" spans="1:32" ht="15.75" thickBot="1" x14ac:dyDescent="0.3">
      <c r="D138" s="17"/>
      <c r="E138" s="17"/>
      <c r="F138" s="32"/>
      <c r="G138" s="62">
        <f>+F136+G136</f>
        <v>262836098</v>
      </c>
      <c r="H138" s="26"/>
      <c r="I138" s="43"/>
      <c r="J138" s="43"/>
      <c r="K138" s="43"/>
      <c r="L138" s="43"/>
      <c r="M138" s="43"/>
      <c r="N138" s="43"/>
      <c r="O138" s="43" t="s">
        <v>211</v>
      </c>
      <c r="P138" s="151">
        <f>+G136</f>
        <v>122421982</v>
      </c>
      <c r="Q138" s="151"/>
      <c r="R138" s="151"/>
      <c r="S138" s="151">
        <f>+R136+S136</f>
        <v>122421982</v>
      </c>
      <c r="T138" s="181">
        <f>+P138-S138</f>
        <v>0</v>
      </c>
      <c r="U138" s="151"/>
      <c r="AB138" s="43"/>
      <c r="AC138" s="43"/>
      <c r="AD138" s="43"/>
      <c r="AE138" s="43"/>
      <c r="AF138" s="43"/>
    </row>
    <row r="139" spans="1:32" ht="15.75" thickBot="1" x14ac:dyDescent="0.3">
      <c r="D139" s="17"/>
      <c r="E139" s="17"/>
      <c r="F139" s="169">
        <f>F136/D136</f>
        <v>0.53422690820801944</v>
      </c>
      <c r="G139" s="37">
        <f>G136/D136</f>
        <v>0.46577309179198056</v>
      </c>
      <c r="O139" s="215"/>
      <c r="Q139" s="223">
        <f>+Q136/$P$136</f>
        <v>0.53422690820801944</v>
      </c>
      <c r="R139" s="197">
        <f>+R136/$P$136</f>
        <v>0.34431260655832746</v>
      </c>
      <c r="S139" s="197">
        <f>+S136/$P$136</f>
        <v>0.1214604852336531</v>
      </c>
      <c r="T139" s="222"/>
    </row>
    <row r="140" spans="1:32" ht="15.75" thickBot="1" x14ac:dyDescent="0.3">
      <c r="D140" s="18"/>
      <c r="E140" s="18">
        <f>+E136-D136</f>
        <v>23428974.850000024</v>
      </c>
      <c r="F140" s="32"/>
      <c r="O140" s="215"/>
      <c r="S140" s="224">
        <f>+R139+S139</f>
        <v>0.46577309179198056</v>
      </c>
    </row>
    <row r="141" spans="1:32" ht="15.75" x14ac:dyDescent="0.25">
      <c r="G141" s="2"/>
      <c r="H141" s="2"/>
      <c r="J141" s="155" t="s">
        <v>119</v>
      </c>
      <c r="K141" s="155" t="s">
        <v>123</v>
      </c>
      <c r="L141" s="155" t="s">
        <v>125</v>
      </c>
      <c r="M141" s="155" t="s">
        <v>122</v>
      </c>
      <c r="N141" s="2" t="s">
        <v>146</v>
      </c>
    </row>
    <row r="142" spans="1:32" ht="16.5" thickBot="1" x14ac:dyDescent="0.3">
      <c r="D142" s="13"/>
      <c r="E142" s="13"/>
      <c r="J142" s="156" t="s">
        <v>124</v>
      </c>
      <c r="K142" s="157" t="s">
        <v>120</v>
      </c>
      <c r="L142" s="158">
        <f>D31+D32</f>
        <v>76997782</v>
      </c>
      <c r="M142" s="156" t="s">
        <v>128</v>
      </c>
      <c r="N142" s="37">
        <f>L142/$D$136</f>
        <v>0.29294979869926391</v>
      </c>
      <c r="O142" s="222"/>
    </row>
    <row r="143" spans="1:32" ht="39" thickBot="1" x14ac:dyDescent="0.3">
      <c r="C143" s="242" t="s">
        <v>226</v>
      </c>
      <c r="D143" s="243" t="s">
        <v>227</v>
      </c>
      <c r="E143" s="243" t="s">
        <v>116</v>
      </c>
      <c r="F143" s="243" t="s">
        <v>235</v>
      </c>
      <c r="J143" s="156" t="s">
        <v>126</v>
      </c>
      <c r="K143" s="157" t="s">
        <v>120</v>
      </c>
      <c r="L143" s="158">
        <f>D35</f>
        <v>0</v>
      </c>
      <c r="M143" s="156" t="s">
        <v>127</v>
      </c>
      <c r="N143" s="37">
        <f t="shared" ref="N143:N149" si="9">L143/$D$136</f>
        <v>0</v>
      </c>
      <c r="S143" s="62"/>
    </row>
    <row r="144" spans="1:32" ht="16.5" thickBot="1" x14ac:dyDescent="0.3">
      <c r="C144" s="244" t="s">
        <v>228</v>
      </c>
      <c r="D144" s="245" t="s">
        <v>229</v>
      </c>
      <c r="E144" s="246"/>
      <c r="F144" s="254">
        <f>+D52</f>
        <v>16793597</v>
      </c>
      <c r="J144" s="156" t="s">
        <v>12</v>
      </c>
      <c r="K144" s="157" t="s">
        <v>120</v>
      </c>
      <c r="L144" s="159">
        <f>D23</f>
        <v>1000000</v>
      </c>
      <c r="M144" s="156" t="s">
        <v>134</v>
      </c>
      <c r="N144" s="37">
        <f t="shared" si="9"/>
        <v>3.804652434004708E-3</v>
      </c>
    </row>
    <row r="145" spans="3:19" ht="26.25" thickBot="1" x14ac:dyDescent="0.3">
      <c r="C145" s="244" t="s">
        <v>230</v>
      </c>
      <c r="D145" s="245" t="s">
        <v>6</v>
      </c>
      <c r="E145" s="254">
        <f>+F61</f>
        <v>21000000</v>
      </c>
      <c r="F145" s="254">
        <f>+D61</f>
        <v>31524200</v>
      </c>
      <c r="J145" s="156" t="s">
        <v>6</v>
      </c>
      <c r="K145" s="157" t="s">
        <v>120</v>
      </c>
      <c r="L145" s="158">
        <f>D19</f>
        <v>11000000</v>
      </c>
      <c r="M145" s="156" t="s">
        <v>129</v>
      </c>
      <c r="N145" s="37">
        <f t="shared" si="9"/>
        <v>4.1851176774051792E-2</v>
      </c>
    </row>
    <row r="146" spans="3:19" ht="16.5" thickBot="1" x14ac:dyDescent="0.3">
      <c r="C146" s="244" t="s">
        <v>231</v>
      </c>
      <c r="D146" s="245" t="s">
        <v>229</v>
      </c>
      <c r="E146" s="246"/>
      <c r="F146" s="254">
        <f>+D70</f>
        <v>4347096</v>
      </c>
      <c r="J146" s="156" t="s">
        <v>176</v>
      </c>
      <c r="K146" s="157" t="s">
        <v>120</v>
      </c>
      <c r="L146" s="158">
        <f>D22</f>
        <v>0</v>
      </c>
      <c r="M146" s="156" t="s">
        <v>179</v>
      </c>
      <c r="N146" s="37"/>
      <c r="S146" s="62"/>
    </row>
    <row r="147" spans="3:19" ht="26.25" thickBot="1" x14ac:dyDescent="0.3">
      <c r="C147" s="244" t="s">
        <v>232</v>
      </c>
      <c r="D147" s="245" t="s">
        <v>6</v>
      </c>
      <c r="E147" s="254">
        <f>+F82</f>
        <v>53587756</v>
      </c>
      <c r="F147" s="254">
        <f>+D82</f>
        <v>61087756</v>
      </c>
      <c r="J147" s="156" t="s">
        <v>175</v>
      </c>
      <c r="K147" s="157" t="s">
        <v>120</v>
      </c>
      <c r="L147" s="158">
        <f>D24</f>
        <v>1500000</v>
      </c>
      <c r="M147" s="156" t="s">
        <v>181</v>
      </c>
      <c r="N147" s="37"/>
    </row>
    <row r="148" spans="3:19" ht="26.25" thickBot="1" x14ac:dyDescent="0.3">
      <c r="C148" s="244" t="s">
        <v>233</v>
      </c>
      <c r="D148" s="245" t="s">
        <v>6</v>
      </c>
      <c r="E148" s="254">
        <f>+F91</f>
        <v>39461604</v>
      </c>
      <c r="F148" s="254">
        <f>+D91</f>
        <v>66861604</v>
      </c>
      <c r="J148" s="156" t="s">
        <v>131</v>
      </c>
      <c r="K148" s="157" t="s">
        <v>120</v>
      </c>
      <c r="L148" s="158">
        <f>D39</f>
        <v>0</v>
      </c>
      <c r="M148" s="156" t="s">
        <v>132</v>
      </c>
      <c r="N148" s="37">
        <f t="shared" si="9"/>
        <v>0</v>
      </c>
    </row>
    <row r="149" spans="3:19" ht="28.5" customHeight="1" thickBot="1" x14ac:dyDescent="0.3">
      <c r="C149" s="244" t="s">
        <v>293</v>
      </c>
      <c r="D149" s="245" t="s">
        <v>6</v>
      </c>
      <c r="E149" s="254">
        <f>+F100</f>
        <v>10000000</v>
      </c>
      <c r="F149" s="254">
        <f>+D100</f>
        <v>10000000</v>
      </c>
      <c r="J149" s="160" t="s">
        <v>130</v>
      </c>
      <c r="K149" s="161" t="s">
        <v>121</v>
      </c>
      <c r="L149" s="162">
        <f>D30</f>
        <v>31924200</v>
      </c>
      <c r="M149" s="160" t="s">
        <v>133</v>
      </c>
      <c r="N149" s="37">
        <f t="shared" si="9"/>
        <v>0.1214604852336531</v>
      </c>
    </row>
    <row r="150" spans="3:19" ht="16.5" thickBot="1" x14ac:dyDescent="0.3">
      <c r="C150" s="244" t="s">
        <v>234</v>
      </c>
      <c r="D150" s="245" t="s">
        <v>7</v>
      </c>
      <c r="E150" s="253">
        <v>16364756</v>
      </c>
      <c r="F150" s="253">
        <f>+E150</f>
        <v>16364756</v>
      </c>
      <c r="J150" s="163" t="s">
        <v>49</v>
      </c>
      <c r="K150" s="157"/>
      <c r="L150" s="164">
        <f>SUM(L142:L149)</f>
        <v>122421982</v>
      </c>
      <c r="M150" s="156"/>
    </row>
    <row r="151" spans="3:19" ht="16.5" thickBot="1" x14ac:dyDescent="0.3">
      <c r="C151" s="247" t="s">
        <v>292</v>
      </c>
      <c r="D151" s="248" t="s">
        <v>229</v>
      </c>
      <c r="E151" s="249"/>
      <c r="F151" s="252">
        <v>55857089</v>
      </c>
      <c r="J151" s="156" t="s">
        <v>147</v>
      </c>
      <c r="L151" s="62">
        <f>L150-L148</f>
        <v>122421982</v>
      </c>
      <c r="M151" s="171">
        <f>L151/D136</f>
        <v>0.46577309179198056</v>
      </c>
      <c r="N151" s="170"/>
    </row>
    <row r="152" spans="3:19" ht="16.5" thickBot="1" x14ac:dyDescent="0.3">
      <c r="C152" s="250" t="s">
        <v>49</v>
      </c>
      <c r="D152" s="251"/>
      <c r="E152" s="255">
        <f>SUM(E144:E151)</f>
        <v>140414116</v>
      </c>
      <c r="F152" s="255">
        <f>SUM(F144:F151)</f>
        <v>262836098</v>
      </c>
      <c r="J152" s="156" t="s">
        <v>148</v>
      </c>
      <c r="L152" s="62">
        <f>L148</f>
        <v>0</v>
      </c>
      <c r="M152" s="171">
        <f>L152/D136</f>
        <v>0</v>
      </c>
    </row>
    <row r="153" spans="3:19" ht="15.75" thickBot="1" x14ac:dyDescent="0.3">
      <c r="D153" s="14"/>
      <c r="E153" s="14"/>
    </row>
    <row r="154" spans="3:19" ht="15.75" thickBot="1" x14ac:dyDescent="0.3">
      <c r="C154" s="262" t="s">
        <v>139</v>
      </c>
      <c r="D154" s="256" t="s">
        <v>236</v>
      </c>
      <c r="E154" s="256" t="s">
        <v>237</v>
      </c>
      <c r="J154" t="s">
        <v>149</v>
      </c>
      <c r="L154" s="62">
        <f>L152+F136</f>
        <v>140414116</v>
      </c>
      <c r="M154" s="171">
        <f>L154/D136</f>
        <v>0.53422690820801944</v>
      </c>
    </row>
    <row r="155" spans="3:19" ht="15.75" thickBot="1" x14ac:dyDescent="0.3">
      <c r="C155" s="259" t="s">
        <v>116</v>
      </c>
      <c r="D155" s="263">
        <f>+E152/1000000</f>
        <v>140.41411600000001</v>
      </c>
      <c r="E155" s="261">
        <f t="shared" ref="E155:E160" si="10">+D155/$D$162</f>
        <v>0.53422690820801944</v>
      </c>
    </row>
    <row r="156" spans="3:19" ht="15.75" thickBot="1" x14ac:dyDescent="0.3">
      <c r="C156" s="259" t="s">
        <v>131</v>
      </c>
      <c r="D156" s="263">
        <v>0</v>
      </c>
      <c r="E156" s="261">
        <f t="shared" si="10"/>
        <v>0</v>
      </c>
    </row>
    <row r="157" spans="3:19" ht="15.75" thickBot="1" x14ac:dyDescent="0.3">
      <c r="C157" s="257" t="s">
        <v>149</v>
      </c>
      <c r="D157" s="264">
        <f>+D155+D156</f>
        <v>140.41411600000001</v>
      </c>
      <c r="E157" s="267">
        <f t="shared" si="10"/>
        <v>0.53422690820801944</v>
      </c>
    </row>
    <row r="158" spans="3:19" ht="15.75" thickBot="1" x14ac:dyDescent="0.3">
      <c r="C158" s="259" t="s">
        <v>238</v>
      </c>
      <c r="D158" s="263">
        <f>(+D19+D24)/1000000</f>
        <v>12.5</v>
      </c>
      <c r="E158" s="261">
        <f t="shared" si="10"/>
        <v>4.7558155425058854E-2</v>
      </c>
    </row>
    <row r="159" spans="3:19" ht="15.75" thickBot="1" x14ac:dyDescent="0.3">
      <c r="C159" s="259" t="s">
        <v>12</v>
      </c>
      <c r="D159" s="263">
        <f>+D23/1000000</f>
        <v>1</v>
      </c>
      <c r="E159" s="261">
        <f t="shared" si="10"/>
        <v>3.8046524340047084E-3</v>
      </c>
    </row>
    <row r="160" spans="3:19" ht="15.75" thickBot="1" x14ac:dyDescent="0.3">
      <c r="C160" s="259" t="s">
        <v>239</v>
      </c>
      <c r="D160" s="263">
        <f>+D37/1000000</f>
        <v>108.921982</v>
      </c>
      <c r="E160" s="261">
        <f t="shared" si="10"/>
        <v>0.41441028393291701</v>
      </c>
      <c r="M160" s="38"/>
    </row>
    <row r="161" spans="3:7" ht="15.75" thickBot="1" x14ac:dyDescent="0.3">
      <c r="C161" s="257" t="s">
        <v>240</v>
      </c>
      <c r="D161" s="266">
        <f>SUM(D158:D160)</f>
        <v>122.421982</v>
      </c>
      <c r="E161" s="265">
        <f>SUM(E158:E160)</f>
        <v>0.46577309179198056</v>
      </c>
    </row>
    <row r="162" spans="3:7" ht="15.75" thickBot="1" x14ac:dyDescent="0.3">
      <c r="C162" s="294" t="s">
        <v>241</v>
      </c>
      <c r="D162" s="295">
        <f>SUM(D157+D161)</f>
        <v>262.83609799999999</v>
      </c>
      <c r="E162" s="296">
        <v>1</v>
      </c>
    </row>
    <row r="163" spans="3:7" ht="15.75" thickBot="1" x14ac:dyDescent="0.3"/>
    <row r="164" spans="3:7" ht="15.75" thickBot="1" x14ac:dyDescent="0.3">
      <c r="C164" s="279" t="s">
        <v>242</v>
      </c>
      <c r="D164" s="256" t="s">
        <v>3</v>
      </c>
      <c r="E164" s="256" t="s">
        <v>236</v>
      </c>
      <c r="F164" s="277" t="s">
        <v>237</v>
      </c>
      <c r="G164" s="268" t="s">
        <v>123</v>
      </c>
    </row>
    <row r="165" spans="3:7" ht="15.75" thickBot="1" x14ac:dyDescent="0.3">
      <c r="C165" s="257" t="s">
        <v>131</v>
      </c>
      <c r="D165" s="274" t="s">
        <v>13</v>
      </c>
      <c r="E165" s="258">
        <v>0</v>
      </c>
      <c r="F165" s="275">
        <f>+E165/$E$174</f>
        <v>0</v>
      </c>
      <c r="G165" s="269" t="s">
        <v>250</v>
      </c>
    </row>
    <row r="166" spans="3:7" ht="15.75" thickBot="1" x14ac:dyDescent="0.3">
      <c r="C166" s="259" t="s">
        <v>243</v>
      </c>
      <c r="D166" s="270"/>
      <c r="E166" s="270"/>
      <c r="F166" s="271"/>
      <c r="G166" s="271"/>
    </row>
    <row r="167" spans="3:7" ht="15.75" thickBot="1" x14ac:dyDescent="0.3">
      <c r="C167" s="259" t="s">
        <v>124</v>
      </c>
      <c r="D167" s="270" t="s">
        <v>4</v>
      </c>
      <c r="E167" s="278">
        <f>+'Independent Utility'!M140/1000000</f>
        <v>76.997782000000001</v>
      </c>
      <c r="F167" s="276">
        <f t="shared" ref="F167:F172" si="11">+E167/$E$174</f>
        <v>0.62895389163034465</v>
      </c>
      <c r="G167" s="271" t="s">
        <v>244</v>
      </c>
    </row>
    <row r="168" spans="3:7" ht="15.75" thickBot="1" x14ac:dyDescent="0.3">
      <c r="C168" s="259" t="s">
        <v>12</v>
      </c>
      <c r="D168" s="270" t="s">
        <v>245</v>
      </c>
      <c r="E168" s="260">
        <f>+D159</f>
        <v>1</v>
      </c>
      <c r="F168" s="276">
        <f t="shared" si="11"/>
        <v>8.1684676531376538E-3</v>
      </c>
      <c r="G168" s="271" t="s">
        <v>246</v>
      </c>
    </row>
    <row r="169" spans="3:7" ht="15.75" thickBot="1" x14ac:dyDescent="0.3">
      <c r="C169" s="259" t="s">
        <v>6</v>
      </c>
      <c r="D169" s="270" t="s">
        <v>5</v>
      </c>
      <c r="E169" s="260">
        <f>+D158-E171</f>
        <v>11</v>
      </c>
      <c r="F169" s="276">
        <f t="shared" si="11"/>
        <v>8.9853144184514178E-2</v>
      </c>
      <c r="G169" s="271" t="s">
        <v>120</v>
      </c>
    </row>
    <row r="170" spans="3:7" ht="15.75" thickBot="1" x14ac:dyDescent="0.3">
      <c r="C170" s="259" t="s">
        <v>176</v>
      </c>
      <c r="D170" s="270" t="s">
        <v>5</v>
      </c>
      <c r="E170" s="260">
        <v>0</v>
      </c>
      <c r="F170" s="276">
        <f t="shared" si="11"/>
        <v>0</v>
      </c>
      <c r="G170" s="271" t="s">
        <v>120</v>
      </c>
    </row>
    <row r="171" spans="3:7" ht="15.75" thickBot="1" x14ac:dyDescent="0.3">
      <c r="C171" s="259" t="s">
        <v>247</v>
      </c>
      <c r="D171" s="270" t="s">
        <v>5</v>
      </c>
      <c r="E171" s="260">
        <v>1.5</v>
      </c>
      <c r="F171" s="276">
        <f t="shared" si="11"/>
        <v>1.2252701479706479E-2</v>
      </c>
      <c r="G171" s="271" t="s">
        <v>120</v>
      </c>
    </row>
    <row r="172" spans="3:7" ht="15.75" thickBot="1" x14ac:dyDescent="0.3">
      <c r="C172" s="259" t="s">
        <v>130</v>
      </c>
      <c r="D172" s="270" t="s">
        <v>4</v>
      </c>
      <c r="E172" s="260">
        <f>+S136/1000000</f>
        <v>31.924199999999999</v>
      </c>
      <c r="F172" s="276">
        <f t="shared" si="11"/>
        <v>0.26077179505229703</v>
      </c>
      <c r="G172" s="271" t="s">
        <v>121</v>
      </c>
    </row>
    <row r="173" spans="3:7" ht="15.75" thickBot="1" x14ac:dyDescent="0.3">
      <c r="C173" s="257" t="s">
        <v>248</v>
      </c>
      <c r="D173" s="272"/>
      <c r="E173" s="258">
        <f>SUM(E167:E172)</f>
        <v>122.421982</v>
      </c>
      <c r="F173" s="275">
        <f>+E173/E174</f>
        <v>1</v>
      </c>
      <c r="G173" s="273"/>
    </row>
    <row r="174" spans="3:7" ht="15.75" thickBot="1" x14ac:dyDescent="0.3">
      <c r="C174" s="289" t="s">
        <v>249</v>
      </c>
      <c r="D174" s="290"/>
      <c r="E174" s="291">
        <f>+E165+E173</f>
        <v>122.421982</v>
      </c>
      <c r="F174" s="292">
        <f>+E174/E174</f>
        <v>1</v>
      </c>
      <c r="G174" s="293"/>
    </row>
  </sheetData>
  <mergeCells count="1">
    <mergeCell ref="P47:T47"/>
  </mergeCells>
  <pageMargins left="0.7" right="0.7" top="0.75" bottom="0.75" header="0.3" footer="0.3"/>
  <pageSetup scale="2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207"/>
  <sheetViews>
    <sheetView zoomScaleNormal="100" workbookViewId="0"/>
  </sheetViews>
  <sheetFormatPr defaultRowHeight="15" x14ac:dyDescent="0.25"/>
  <cols>
    <col min="1" max="1" width="2.7109375" customWidth="1"/>
    <col min="2" max="2" width="5" customWidth="1"/>
    <col min="3" max="3" width="29.85546875" customWidth="1"/>
    <col min="4" max="5" width="15.28515625" customWidth="1"/>
    <col min="6" max="7" width="14.85546875" customWidth="1"/>
    <col min="8" max="8" width="13.7109375" customWidth="1"/>
    <col min="9" max="9" width="15" customWidth="1"/>
    <col min="10" max="10" width="13.5703125" customWidth="1"/>
    <col min="11" max="11" width="29.7109375" customWidth="1"/>
    <col min="12" max="12" width="9.85546875" customWidth="1"/>
    <col min="13" max="13" width="14.7109375" customWidth="1"/>
    <col min="14" max="14" width="58.85546875" customWidth="1"/>
    <col min="15" max="15" width="13.85546875" customWidth="1"/>
    <col min="16" max="16" width="13.7109375" customWidth="1"/>
    <col min="17" max="17" width="12.7109375" customWidth="1"/>
    <col min="18" max="18" width="12.28515625" customWidth="1"/>
    <col min="19" max="19" width="10.5703125" customWidth="1"/>
    <col min="20" max="20" width="15.7109375" customWidth="1"/>
  </cols>
  <sheetData>
    <row r="1" spans="1:26" ht="18.75" x14ac:dyDescent="0.3">
      <c r="A1" s="31" t="s">
        <v>68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3" spans="1:26" x14ac:dyDescent="0.25">
      <c r="B3" t="s">
        <v>50</v>
      </c>
    </row>
    <row r="4" spans="1:26" x14ac:dyDescent="0.25">
      <c r="C4" t="s">
        <v>102</v>
      </c>
      <c r="D4" s="173">
        <v>45231</v>
      </c>
      <c r="E4" s="1"/>
    </row>
    <row r="5" spans="1:26" x14ac:dyDescent="0.25">
      <c r="C5" t="s">
        <v>103</v>
      </c>
      <c r="D5" s="173">
        <f>D4+18*30</f>
        <v>45771</v>
      </c>
      <c r="E5" s="1"/>
    </row>
    <row r="6" spans="1:26" ht="18.75" x14ac:dyDescent="0.3">
      <c r="C6" t="s">
        <v>104</v>
      </c>
      <c r="D6" s="173">
        <v>44562</v>
      </c>
      <c r="E6" s="1" t="s">
        <v>105</v>
      </c>
      <c r="I6" s="75"/>
    </row>
    <row r="7" spans="1:26" x14ac:dyDescent="0.25">
      <c r="D7" s="1"/>
      <c r="E7" s="1"/>
    </row>
    <row r="8" spans="1:26" x14ac:dyDescent="0.25">
      <c r="C8" s="77" t="s">
        <v>51</v>
      </c>
      <c r="D8" s="38"/>
      <c r="E8" s="43"/>
      <c r="F8" s="70"/>
      <c r="G8" s="70"/>
    </row>
    <row r="9" spans="1:26" x14ac:dyDescent="0.25">
      <c r="C9" t="s">
        <v>60</v>
      </c>
      <c r="D9" s="107"/>
      <c r="E9" s="43"/>
      <c r="F9" s="70"/>
      <c r="G9" s="70"/>
    </row>
    <row r="10" spans="1:26" x14ac:dyDescent="0.25">
      <c r="C10" t="s">
        <v>78</v>
      </c>
      <c r="D10" s="7"/>
      <c r="F10" s="70"/>
      <c r="G10" s="70"/>
    </row>
    <row r="11" spans="1:26" x14ac:dyDescent="0.25">
      <c r="C11" t="s">
        <v>0</v>
      </c>
      <c r="D11" s="21"/>
      <c r="F11" s="70"/>
      <c r="G11" s="70"/>
    </row>
    <row r="12" spans="1:26" x14ac:dyDescent="0.25">
      <c r="C12" t="s">
        <v>59</v>
      </c>
      <c r="D12" s="86"/>
      <c r="F12" s="70"/>
      <c r="G12" s="70"/>
    </row>
    <row r="13" spans="1:26" x14ac:dyDescent="0.25">
      <c r="C13" t="s">
        <v>23</v>
      </c>
      <c r="D13" s="61"/>
      <c r="F13" s="70"/>
      <c r="G13" s="70"/>
    </row>
    <row r="14" spans="1:26" x14ac:dyDescent="0.25">
      <c r="F14" s="70"/>
      <c r="G14" s="70"/>
    </row>
    <row r="15" spans="1:26" x14ac:dyDescent="0.25">
      <c r="F15" s="70"/>
      <c r="G15" s="70"/>
      <c r="I15" s="147"/>
      <c r="J15" s="60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 ht="18.75" x14ac:dyDescent="0.3">
      <c r="A16" s="75" t="s">
        <v>1</v>
      </c>
      <c r="B16" s="10"/>
      <c r="C16" s="10"/>
      <c r="D16" s="10"/>
      <c r="E16" s="10"/>
      <c r="F16" s="10"/>
      <c r="G16" s="10"/>
      <c r="H16" s="10"/>
      <c r="I16" s="148"/>
      <c r="J16" s="60"/>
      <c r="K16" s="94"/>
      <c r="L16" s="94"/>
      <c r="M16" s="94"/>
      <c r="N16" s="94"/>
      <c r="O16" s="94"/>
      <c r="P16" s="94"/>
      <c r="Q16" s="94"/>
      <c r="R16" s="94"/>
      <c r="S16" s="94"/>
      <c r="T16" s="43"/>
      <c r="U16" s="43"/>
      <c r="V16" s="43"/>
      <c r="W16" s="43"/>
      <c r="X16" s="43"/>
      <c r="Y16" s="43"/>
      <c r="Z16" s="43"/>
    </row>
    <row r="17" spans="1:26" ht="32.65" customHeight="1" x14ac:dyDescent="0.25">
      <c r="A17" s="4"/>
      <c r="B17" s="4"/>
      <c r="C17" s="4" t="s">
        <v>3</v>
      </c>
      <c r="D17" s="20" t="s">
        <v>80</v>
      </c>
      <c r="E17" s="20" t="s">
        <v>79</v>
      </c>
      <c r="F17" s="22"/>
      <c r="G17" s="4"/>
      <c r="H17" s="4"/>
      <c r="I17" s="149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43"/>
      <c r="V17" s="43"/>
      <c r="W17" s="43"/>
      <c r="X17" s="43"/>
      <c r="Y17" s="43"/>
      <c r="Z17" s="43"/>
    </row>
    <row r="18" spans="1:26" x14ac:dyDescent="0.25">
      <c r="A18" s="3" t="s">
        <v>5</v>
      </c>
      <c r="B18" s="3"/>
      <c r="C18" s="3"/>
      <c r="D18" s="5"/>
      <c r="E18" s="107"/>
      <c r="F18" s="111"/>
      <c r="G18" s="165"/>
      <c r="H18" s="93"/>
      <c r="I18" s="2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151"/>
      <c r="U18" s="43"/>
      <c r="V18" s="43"/>
      <c r="W18" s="43"/>
      <c r="X18" s="43"/>
      <c r="Y18" s="43"/>
      <c r="Z18" s="43"/>
    </row>
    <row r="19" spans="1:26" x14ac:dyDescent="0.25">
      <c r="A19" s="3"/>
      <c r="B19" s="3"/>
      <c r="C19" s="3" t="s">
        <v>6</v>
      </c>
      <c r="D19" s="7">
        <f>'1 North Wenatchee Ave'!D12+'2 Confluence Parkway'!D12+'3 Cascade Int'!D12+'4 Sunset Highway'!D12</f>
        <v>11000000</v>
      </c>
      <c r="E19" s="107">
        <f>'1 North Wenatchee Ave'!E12+'2 Confluence Parkway'!E12+'3 Cascade Int'!E12+'4 Sunset Highway'!E12</f>
        <v>15134981.064750001</v>
      </c>
      <c r="F19" s="96"/>
      <c r="G19" s="166"/>
      <c r="H19" s="53"/>
      <c r="I19" s="47"/>
      <c r="J19" s="53">
        <f>+D19</f>
        <v>11000000</v>
      </c>
      <c r="K19" s="53"/>
      <c r="L19" s="53"/>
      <c r="M19" s="53"/>
      <c r="N19" s="53"/>
      <c r="O19" s="53"/>
      <c r="P19" s="53"/>
      <c r="Q19" s="53"/>
      <c r="R19" s="53"/>
      <c r="S19" s="53"/>
      <c r="T19" s="151"/>
      <c r="U19" s="43"/>
      <c r="V19" s="43"/>
      <c r="W19" s="43"/>
      <c r="X19" s="43"/>
      <c r="Y19" s="43"/>
      <c r="Z19" s="43"/>
    </row>
    <row r="20" spans="1:26" x14ac:dyDescent="0.25">
      <c r="A20" s="3"/>
      <c r="B20" s="3"/>
      <c r="C20" s="3" t="s">
        <v>7</v>
      </c>
      <c r="D20" s="7">
        <f>'1 North Wenatchee Ave'!D13+'2 Confluence Parkway'!D13+'3 Cascade Int'!D13+'4 Sunset Highway'!D13</f>
        <v>0</v>
      </c>
      <c r="E20" s="107"/>
      <c r="F20" s="96"/>
      <c r="G20" s="166"/>
      <c r="H20" s="53"/>
      <c r="I20" s="47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151"/>
      <c r="U20" s="43"/>
      <c r="V20" s="43"/>
      <c r="W20" s="43"/>
      <c r="X20" s="43"/>
      <c r="Y20" s="43"/>
      <c r="Z20" s="43"/>
    </row>
    <row r="21" spans="1:26" x14ac:dyDescent="0.25">
      <c r="A21" s="3"/>
      <c r="B21" s="3"/>
      <c r="C21" s="3" t="s">
        <v>16</v>
      </c>
      <c r="D21" s="7">
        <f>'1 North Wenatchee Ave'!D14+'2 Confluence Parkway'!D14+'3 Cascade Int'!D14+'4 Sunset Highway'!D14</f>
        <v>0</v>
      </c>
      <c r="E21" s="107"/>
      <c r="F21" s="96"/>
      <c r="G21" s="166"/>
      <c r="H21" s="53"/>
      <c r="I21" s="47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151"/>
      <c r="U21" s="43"/>
      <c r="V21" s="43"/>
      <c r="W21" s="43"/>
      <c r="X21" s="43"/>
      <c r="Y21" s="43"/>
      <c r="Z21" s="43"/>
    </row>
    <row r="22" spans="1:26" x14ac:dyDescent="0.25">
      <c r="A22" s="3"/>
      <c r="B22" s="3"/>
      <c r="C22" s="3" t="s">
        <v>8</v>
      </c>
      <c r="D22" s="7">
        <f>'1 North Wenatchee Ave'!D15+'2 Confluence Parkway'!D15+'3 Cascade Int'!D15+'4 Sunset Highway'!D15</f>
        <v>0</v>
      </c>
      <c r="E22" s="107"/>
      <c r="F22" s="96"/>
      <c r="G22" s="166"/>
      <c r="H22" s="53"/>
      <c r="I22" s="47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151"/>
      <c r="U22" s="43"/>
      <c r="V22" s="43"/>
      <c r="W22" s="43"/>
      <c r="X22" s="43"/>
      <c r="Y22" s="43"/>
      <c r="Z22" s="43"/>
    </row>
    <row r="23" spans="1:26" x14ac:dyDescent="0.25">
      <c r="A23" s="3"/>
      <c r="B23" s="3"/>
      <c r="C23" s="3" t="s">
        <v>12</v>
      </c>
      <c r="D23" s="7">
        <f>'1 North Wenatchee Ave'!D16+'2 Confluence Parkway'!D16+'3 Cascade Int'!D16+'4 Sunset Highway'!D16</f>
        <v>1000000</v>
      </c>
      <c r="E23" s="115">
        <f>'1 North Wenatchee Ave'!E16+'2 Confluence Parkway'!E16+'3 Cascade Int'!E16+'4 Sunset Highway'!E16</f>
        <v>1000000</v>
      </c>
      <c r="F23" s="97"/>
      <c r="G23" s="166"/>
      <c r="H23" s="53"/>
      <c r="I23" s="47"/>
      <c r="J23" s="53">
        <f>+D23</f>
        <v>1000000</v>
      </c>
      <c r="K23" s="53"/>
      <c r="L23" s="53"/>
      <c r="M23" s="53"/>
      <c r="N23" s="53"/>
      <c r="O23" s="53"/>
      <c r="P23" s="53"/>
      <c r="Q23" s="53"/>
      <c r="R23" s="53"/>
      <c r="S23" s="53"/>
      <c r="T23" s="151"/>
      <c r="U23" s="43"/>
      <c r="V23" s="43"/>
      <c r="W23" s="43"/>
      <c r="X23" s="43"/>
      <c r="Y23" s="43"/>
      <c r="Z23" s="43"/>
    </row>
    <row r="24" spans="1:26" x14ac:dyDescent="0.25">
      <c r="A24" s="3"/>
      <c r="B24" s="3"/>
      <c r="C24" s="3" t="s">
        <v>41</v>
      </c>
      <c r="D24" s="7">
        <f>'1 North Wenatchee Ave'!D17+'2 Confluence Parkway'!D17+'3 Cascade Int'!D17+'4 Sunset Highway'!D17</f>
        <v>1500000</v>
      </c>
      <c r="E24" s="107"/>
      <c r="F24" s="96"/>
      <c r="G24" s="166"/>
      <c r="H24" s="53"/>
      <c r="I24" s="47"/>
      <c r="J24" s="53">
        <f>+D24</f>
        <v>1500000</v>
      </c>
      <c r="K24" s="53"/>
      <c r="L24" s="53"/>
      <c r="M24" s="53"/>
      <c r="N24" s="53"/>
      <c r="O24" s="53"/>
      <c r="P24" s="53"/>
      <c r="Q24" s="53"/>
      <c r="R24" s="53"/>
      <c r="S24" s="53"/>
      <c r="T24" s="151"/>
      <c r="U24" s="43"/>
      <c r="V24" s="43"/>
      <c r="W24" s="43"/>
      <c r="X24" s="43"/>
      <c r="Y24" s="43"/>
      <c r="Z24" s="43"/>
    </row>
    <row r="25" spans="1:26" x14ac:dyDescent="0.25">
      <c r="A25" s="3"/>
      <c r="B25" s="3"/>
      <c r="C25" s="3"/>
      <c r="D25" s="9"/>
      <c r="E25" s="107"/>
      <c r="F25" s="97"/>
      <c r="G25" s="166"/>
      <c r="H25" s="53"/>
      <c r="I25" s="47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151"/>
      <c r="U25" s="43"/>
      <c r="V25" s="43"/>
      <c r="W25" s="43"/>
      <c r="X25" s="43"/>
      <c r="Y25" s="43"/>
      <c r="Z25" s="43"/>
    </row>
    <row r="26" spans="1:26" x14ac:dyDescent="0.25">
      <c r="A26" s="3"/>
      <c r="B26" s="3" t="s">
        <v>19</v>
      </c>
      <c r="C26" s="3"/>
      <c r="D26" s="90">
        <f>SUM(D19:D25)</f>
        <v>13500000</v>
      </c>
      <c r="E26" s="107">
        <f>SUM(E19:E25)</f>
        <v>16134981.064750001</v>
      </c>
      <c r="F26" s="96"/>
      <c r="G26" s="166"/>
      <c r="H26" s="132"/>
      <c r="I26" s="47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151"/>
      <c r="U26" s="43"/>
      <c r="V26" s="43"/>
      <c r="W26" s="43"/>
      <c r="X26" s="43"/>
      <c r="Y26" s="43"/>
      <c r="Z26" s="43"/>
    </row>
    <row r="27" spans="1:26" x14ac:dyDescent="0.25">
      <c r="A27" s="3" t="s">
        <v>4</v>
      </c>
      <c r="B27" s="3"/>
      <c r="C27" s="3"/>
      <c r="D27" s="7"/>
      <c r="E27" s="107"/>
      <c r="F27" s="96"/>
      <c r="G27" s="166"/>
      <c r="H27" s="53"/>
      <c r="I27" s="47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151"/>
      <c r="U27" s="43"/>
      <c r="V27" s="43"/>
      <c r="W27" s="43"/>
      <c r="X27" s="43"/>
      <c r="Y27" s="43"/>
      <c r="Z27" s="43"/>
    </row>
    <row r="28" spans="1:26" x14ac:dyDescent="0.25">
      <c r="A28" s="3"/>
      <c r="B28" s="3"/>
      <c r="C28" s="3" t="s">
        <v>10</v>
      </c>
      <c r="D28" s="7">
        <f>'1 North Wenatchee Ave'!D21+'2 Confluence Parkway'!D21+'3 Cascade Int'!D21+'4 Sunset Highway'!D21</f>
        <v>0</v>
      </c>
      <c r="E28" s="107">
        <f>'1 North Wenatchee Ave'!E21+'2 Confluence Parkway'!E21+'3 Cascade Int'!E21+'4 Sunset Highway'!E21</f>
        <v>0</v>
      </c>
      <c r="F28" s="96"/>
      <c r="G28" s="166"/>
      <c r="H28" s="53"/>
      <c r="I28" s="47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151"/>
      <c r="U28" s="43"/>
      <c r="V28" s="43"/>
      <c r="W28" s="43"/>
      <c r="X28" s="43"/>
      <c r="Y28" s="43"/>
      <c r="Z28" s="43"/>
    </row>
    <row r="29" spans="1:26" hidden="1" x14ac:dyDescent="0.25">
      <c r="A29" s="3"/>
      <c r="B29" s="3"/>
      <c r="C29" s="3" t="s">
        <v>9</v>
      </c>
      <c r="D29" s="7">
        <f>'1 North Wenatchee Ave'!D22+'2 Confluence Parkway'!D22+'3 Cascade Int'!D22+'4 Sunset Highway'!D22</f>
        <v>0</v>
      </c>
      <c r="E29" s="107">
        <f>'1 North Wenatchee Ave'!E22+'2 Confluence Parkway'!E22+'3 Cascade Int'!E22+'4 Sunset Highway'!E22</f>
        <v>0</v>
      </c>
      <c r="F29" s="96"/>
      <c r="G29" s="166"/>
      <c r="H29" s="53"/>
      <c r="I29" s="47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151"/>
      <c r="U29" s="43"/>
      <c r="V29" s="43"/>
      <c r="W29" s="43"/>
      <c r="X29" s="43"/>
      <c r="Y29" s="43"/>
      <c r="Z29" s="43"/>
    </row>
    <row r="30" spans="1:26" x14ac:dyDescent="0.25">
      <c r="A30" s="3"/>
      <c r="B30" s="3"/>
      <c r="C30" s="3" t="s">
        <v>74</v>
      </c>
      <c r="D30" s="7">
        <f>'1 North Wenatchee Ave'!D23+'2 Confluence Parkway'!D23+'3 Cascade Int'!D23+'4 Sunset Highway'!D23</f>
        <v>31924200</v>
      </c>
      <c r="E30" s="107">
        <f>'1 North Wenatchee Ave'!E23+'2 Confluence Parkway'!E23+'3 Cascade Int'!E23+'4 Sunset Highway'!E23</f>
        <v>31924200</v>
      </c>
      <c r="F30" s="96"/>
      <c r="G30" s="166"/>
      <c r="H30" s="53"/>
      <c r="I30" s="47"/>
      <c r="J30" s="53">
        <f>+D30</f>
        <v>31924200</v>
      </c>
      <c r="K30" s="53"/>
      <c r="L30" s="53"/>
      <c r="M30" s="53"/>
      <c r="N30" s="53"/>
      <c r="O30" s="53"/>
      <c r="P30" s="53"/>
      <c r="Q30" s="53"/>
      <c r="R30" s="53"/>
      <c r="S30" s="53"/>
      <c r="T30" s="151"/>
      <c r="U30" s="43"/>
      <c r="V30" s="43"/>
      <c r="W30" s="43"/>
      <c r="X30" s="43"/>
      <c r="Y30" s="43"/>
      <c r="Z30" s="43"/>
    </row>
    <row r="31" spans="1:26" x14ac:dyDescent="0.25">
      <c r="A31" s="3"/>
      <c r="B31" s="3"/>
      <c r="C31" s="3" t="s">
        <v>35</v>
      </c>
      <c r="D31" s="7">
        <f>'1 North Wenatchee Ave'!D24+'2 Confluence Parkway'!D24+'3 Cascade Int'!D24+'4 Sunset Highway'!D24</f>
        <v>55857089</v>
      </c>
      <c r="E31" s="107">
        <f>'1 North Wenatchee Ave'!E24+'2 Confluence Parkway'!E24+'3 Cascade Int'!E24+'4 Sunset Highway'!E24</f>
        <v>58522010</v>
      </c>
      <c r="F31" s="96"/>
      <c r="G31" s="166"/>
      <c r="H31" s="53"/>
      <c r="I31" s="47"/>
      <c r="J31" s="53">
        <f>+D31+D32</f>
        <v>76997782</v>
      </c>
      <c r="K31" s="53"/>
      <c r="L31" s="53"/>
      <c r="M31" s="53"/>
      <c r="N31" s="53"/>
      <c r="O31" s="53"/>
      <c r="P31" s="53"/>
      <c r="Q31" s="53"/>
      <c r="R31" s="53"/>
      <c r="S31" s="53"/>
      <c r="T31" s="151"/>
      <c r="U31" s="43"/>
      <c r="V31" s="43"/>
      <c r="W31" s="43"/>
      <c r="X31" s="43"/>
      <c r="Y31" s="43"/>
      <c r="Z31" s="43"/>
    </row>
    <row r="32" spans="1:26" x14ac:dyDescent="0.25">
      <c r="A32" s="3"/>
      <c r="B32" s="3"/>
      <c r="C32" s="3" t="s">
        <v>112</v>
      </c>
      <c r="D32" s="7">
        <f>'1 North Wenatchee Ave'!D25+'2 Confluence Parkway'!D25+'3 Cascade Int'!D25+'4 Sunset Highway'!D25</f>
        <v>21140693</v>
      </c>
      <c r="E32" s="107">
        <f>'1 North Wenatchee Ave'!E25+'2 Confluence Parkway'!E25+'3 Cascade Int'!E25+'4 Sunset Highway'!E25</f>
        <v>23000001</v>
      </c>
      <c r="F32" s="96"/>
      <c r="G32" s="166"/>
      <c r="H32" s="73"/>
      <c r="I32" s="47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151"/>
      <c r="U32" s="43"/>
      <c r="V32" s="43"/>
      <c r="W32" s="43"/>
      <c r="X32" s="43"/>
      <c r="Y32" s="43"/>
      <c r="Z32" s="43"/>
    </row>
    <row r="33" spans="1:26" hidden="1" x14ac:dyDescent="0.25">
      <c r="A33" s="3"/>
      <c r="B33" s="3"/>
      <c r="C33" s="3" t="s">
        <v>38</v>
      </c>
      <c r="D33" s="7">
        <f>'1 North Wenatchee Ave'!D26+'2 Confluence Parkway'!D26+'3 Cascade Int'!D26+'4 Sunset Highway'!D26</f>
        <v>0</v>
      </c>
      <c r="E33" s="107">
        <f>'1 North Wenatchee Ave'!E26+'2 Confluence Parkway'!E26+'3 Cascade Int'!E26+'4 Sunset Highway'!E26</f>
        <v>138000</v>
      </c>
      <c r="F33" s="96"/>
      <c r="G33" s="166"/>
      <c r="H33" s="53"/>
      <c r="I33" s="47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151"/>
      <c r="U33" s="43"/>
      <c r="V33" s="43"/>
      <c r="W33" s="43"/>
      <c r="X33" s="43"/>
      <c r="Y33" s="43"/>
      <c r="Z33" s="43"/>
    </row>
    <row r="34" spans="1:26" hidden="1" x14ac:dyDescent="0.25">
      <c r="A34" s="3"/>
      <c r="B34" s="3"/>
      <c r="C34" s="3" t="s">
        <v>11</v>
      </c>
      <c r="D34" s="7">
        <f>'1 North Wenatchee Ave'!D27+'2 Confluence Parkway'!D27+'3 Cascade Int'!D27+'4 Sunset Highway'!D27</f>
        <v>0</v>
      </c>
      <c r="E34" s="107">
        <f>'1 North Wenatchee Ave'!E27+'2 Confluence Parkway'!E27+'3 Cascade Int'!E27+'4 Sunset Highway'!E27</f>
        <v>0</v>
      </c>
      <c r="F34" s="96"/>
      <c r="G34" s="166"/>
      <c r="H34" s="53"/>
      <c r="I34" s="47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151"/>
      <c r="U34" s="43"/>
      <c r="V34" s="43"/>
      <c r="W34" s="43"/>
      <c r="X34" s="43"/>
      <c r="Y34" s="43"/>
      <c r="Z34" s="43"/>
    </row>
    <row r="35" spans="1:26" ht="13.9" customHeight="1" x14ac:dyDescent="0.25">
      <c r="A35" s="3"/>
      <c r="B35" s="3"/>
      <c r="C35" s="3" t="s">
        <v>74</v>
      </c>
      <c r="D35" s="7">
        <f>'1 North Wenatchee Ave'!D28+'2 Confluence Parkway'!D28+'3 Cascade Int'!D28+'4 Sunset Highway'!D28</f>
        <v>0</v>
      </c>
      <c r="E35" s="115">
        <f>'1 North Wenatchee Ave'!E28+'2 Confluence Parkway'!E28+'3 Cascade Int'!E28+'4 Sunset Highway'!E28</f>
        <v>8613296</v>
      </c>
      <c r="F35" s="96"/>
      <c r="G35" s="166"/>
      <c r="H35" s="53"/>
      <c r="I35" s="47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151"/>
      <c r="U35" s="43"/>
      <c r="V35" s="43"/>
      <c r="W35" s="43"/>
      <c r="X35" s="43"/>
      <c r="Y35" s="43"/>
      <c r="Z35" s="43"/>
    </row>
    <row r="36" spans="1:26" ht="1.5" customHeight="1" x14ac:dyDescent="0.25">
      <c r="A36" s="3"/>
      <c r="B36" s="3"/>
      <c r="C36" s="3"/>
      <c r="D36" s="9"/>
      <c r="E36" s="107"/>
      <c r="F36" s="97"/>
      <c r="G36" s="167"/>
      <c r="H36" s="73"/>
      <c r="I36" s="47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151"/>
      <c r="U36" s="43"/>
      <c r="V36" s="43"/>
      <c r="W36" s="43"/>
      <c r="X36" s="43"/>
      <c r="Y36" s="43"/>
      <c r="Z36" s="43"/>
    </row>
    <row r="37" spans="1:26" x14ac:dyDescent="0.25">
      <c r="A37" s="3"/>
      <c r="B37" s="3" t="s">
        <v>17</v>
      </c>
      <c r="C37" s="3"/>
      <c r="D37" s="90">
        <f>SUM(D28:D36)</f>
        <v>108921982</v>
      </c>
      <c r="E37" s="107">
        <f>SUM(E28:E36)</f>
        <v>122197507</v>
      </c>
      <c r="F37" s="96"/>
      <c r="G37" s="166"/>
      <c r="H37" s="53"/>
      <c r="I37" s="47"/>
      <c r="J37" s="53">
        <f>SUM(J19:J35)</f>
        <v>122421982</v>
      </c>
      <c r="K37" s="53"/>
      <c r="L37" s="53"/>
      <c r="M37" s="53"/>
      <c r="N37" s="53"/>
      <c r="O37" s="53"/>
      <c r="P37" s="53"/>
      <c r="Q37" s="53"/>
      <c r="R37" s="53"/>
      <c r="S37" s="53"/>
      <c r="T37" s="151"/>
      <c r="U37" s="43"/>
      <c r="V37" s="43"/>
      <c r="W37" s="43"/>
      <c r="X37" s="43"/>
      <c r="Y37" s="43"/>
      <c r="Z37" s="43"/>
    </row>
    <row r="38" spans="1:26" x14ac:dyDescent="0.25">
      <c r="A38" s="3" t="s">
        <v>13</v>
      </c>
      <c r="B38" s="3"/>
      <c r="C38" s="3"/>
      <c r="D38" s="7"/>
      <c r="E38" s="107"/>
      <c r="F38" s="96"/>
      <c r="G38" s="166"/>
      <c r="H38" s="53"/>
      <c r="I38" s="47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151"/>
      <c r="U38" s="43"/>
      <c r="V38" s="43"/>
      <c r="W38" s="43"/>
      <c r="X38" s="43"/>
      <c r="Y38" s="43"/>
      <c r="Z38" s="43"/>
    </row>
    <row r="39" spans="1:26" x14ac:dyDescent="0.25">
      <c r="A39" s="3"/>
      <c r="B39" s="3"/>
      <c r="C39" s="3" t="s">
        <v>14</v>
      </c>
      <c r="D39" s="7">
        <f>'1 North Wenatchee Ave'!D32+'2 Confluence Parkway'!D32+'3 Cascade Int'!D32+'4 Sunset Highway'!D32</f>
        <v>0</v>
      </c>
      <c r="E39" s="107">
        <f>'1 North Wenatchee Ave'!E32+'2 Confluence Parkway'!E32+'3 Cascade Int'!E32+'4 Sunset Highway'!E32</f>
        <v>3225386.7852500002</v>
      </c>
      <c r="F39" s="96"/>
      <c r="G39" s="166"/>
      <c r="H39" s="53"/>
      <c r="I39" s="47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151"/>
      <c r="U39" s="43"/>
      <c r="V39" s="43"/>
      <c r="W39" s="43"/>
      <c r="X39" s="43"/>
      <c r="Y39" s="43"/>
      <c r="Z39" s="43"/>
    </row>
    <row r="40" spans="1:26" x14ac:dyDescent="0.25">
      <c r="A40" s="3"/>
      <c r="B40" s="3"/>
      <c r="C40" s="3" t="s">
        <v>15</v>
      </c>
      <c r="D40" s="7">
        <f>'1 North Wenatchee Ave'!D33+'2 Confluence Parkway'!D33+'3 Cascade Int'!D33+'4 Sunset Highway'!D33</f>
        <v>140414116</v>
      </c>
      <c r="E40" s="115">
        <f>'1 North Wenatchee Ave'!E33+'2 Confluence Parkway'!E33+'3 Cascade Int'!E33+'4 Sunset Highway'!E33</f>
        <v>140414116</v>
      </c>
      <c r="F40" s="97"/>
      <c r="G40" s="167"/>
      <c r="H40" s="73"/>
      <c r="I40" s="47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151"/>
      <c r="U40" s="43"/>
      <c r="V40" s="43"/>
      <c r="W40" s="43"/>
      <c r="X40" s="43"/>
      <c r="Y40" s="43"/>
      <c r="Z40" s="43"/>
    </row>
    <row r="41" spans="1:26" hidden="1" x14ac:dyDescent="0.25">
      <c r="A41" s="3"/>
      <c r="B41" s="3"/>
      <c r="C41" s="3"/>
      <c r="D41" s="7">
        <f>'1 North Wenatchee Ave'!D34+'2 Confluence Parkway'!D34+'3 Cascade Int'!D34+'4 Sunset Highway'!D34</f>
        <v>0</v>
      </c>
      <c r="E41" s="107"/>
      <c r="F41" s="96"/>
      <c r="G41" s="166"/>
      <c r="H41" s="53"/>
      <c r="I41" s="47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151"/>
      <c r="U41" s="43"/>
      <c r="V41" s="43"/>
      <c r="W41" s="43"/>
      <c r="X41" s="43"/>
      <c r="Y41" s="43"/>
      <c r="Z41" s="43"/>
    </row>
    <row r="42" spans="1:26" hidden="1" x14ac:dyDescent="0.25">
      <c r="A42" s="3"/>
      <c r="B42" s="3"/>
      <c r="C42" s="3"/>
      <c r="D42" s="9"/>
      <c r="E42" s="107"/>
      <c r="F42" s="97"/>
      <c r="G42" s="167"/>
      <c r="H42" s="73"/>
      <c r="I42" s="47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151"/>
      <c r="U42" s="43"/>
      <c r="V42" s="43"/>
      <c r="W42" s="43"/>
      <c r="X42" s="43"/>
      <c r="Y42" s="43"/>
      <c r="Z42" s="43"/>
    </row>
    <row r="43" spans="1:26" x14ac:dyDescent="0.25">
      <c r="A43" s="3"/>
      <c r="B43" s="3" t="s">
        <v>18</v>
      </c>
      <c r="C43" s="3"/>
      <c r="D43" s="90">
        <f>SUM(D39:D42)</f>
        <v>140414116</v>
      </c>
      <c r="E43" s="107">
        <f>SUM(E39:E42)</f>
        <v>143639502.78525001</v>
      </c>
      <c r="F43" s="96"/>
      <c r="G43" s="166"/>
      <c r="H43" s="53"/>
      <c r="I43" s="47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151"/>
      <c r="U43" s="43"/>
      <c r="V43" s="43"/>
      <c r="W43" s="43"/>
      <c r="X43" s="43"/>
      <c r="Y43" s="43"/>
      <c r="Z43" s="43"/>
    </row>
    <row r="44" spans="1:26" x14ac:dyDescent="0.25">
      <c r="A44" s="3"/>
      <c r="B44" s="3"/>
      <c r="C44" s="3"/>
      <c r="D44" s="11"/>
      <c r="E44" s="11"/>
      <c r="F44" s="48"/>
      <c r="G44" s="27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151"/>
      <c r="U44" s="43"/>
      <c r="V44" s="43"/>
      <c r="W44" s="43"/>
      <c r="X44" s="43"/>
      <c r="Y44" s="43"/>
      <c r="Z44" s="43"/>
    </row>
    <row r="45" spans="1:26" x14ac:dyDescent="0.25">
      <c r="A45" s="91" t="s">
        <v>30</v>
      </c>
      <c r="B45" s="3"/>
      <c r="C45" s="3"/>
      <c r="D45" s="11">
        <f>D43+D37+D26</f>
        <v>262836098</v>
      </c>
      <c r="E45" s="11"/>
      <c r="F45" s="11">
        <f>F43+F37+F26</f>
        <v>0</v>
      </c>
      <c r="G45" s="11"/>
      <c r="H45" s="27">
        <f>H43+H37+H26</f>
        <v>0</v>
      </c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151"/>
      <c r="U45" s="43"/>
      <c r="V45" s="43"/>
      <c r="W45" s="43"/>
      <c r="X45" s="43"/>
      <c r="Y45" s="43"/>
      <c r="Z45" s="43"/>
    </row>
    <row r="46" spans="1:26" x14ac:dyDescent="0.25">
      <c r="A46" s="3"/>
      <c r="B46" s="3"/>
      <c r="C46" s="3"/>
      <c r="D46" s="11"/>
      <c r="E46" s="11"/>
      <c r="F46" s="27"/>
      <c r="G46" s="27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43"/>
      <c r="U46" s="43"/>
      <c r="V46" s="43"/>
      <c r="W46" s="43"/>
      <c r="X46" s="43"/>
      <c r="Y46" s="43"/>
      <c r="Z46" s="43"/>
    </row>
    <row r="47" spans="1:26" ht="18.75" x14ac:dyDescent="0.3">
      <c r="A47" s="75" t="s">
        <v>135</v>
      </c>
      <c r="B47" s="10"/>
      <c r="C47" s="10"/>
      <c r="D47" s="12"/>
      <c r="E47" s="12"/>
      <c r="F47" s="133"/>
      <c r="G47" s="203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43"/>
      <c r="U47" s="43"/>
      <c r="V47" s="43"/>
      <c r="W47" s="43"/>
      <c r="X47" s="43"/>
      <c r="Y47" s="43"/>
      <c r="Z47" s="43"/>
    </row>
    <row r="48" spans="1:26" ht="30" x14ac:dyDescent="0.25">
      <c r="A48" s="4"/>
      <c r="B48" s="4"/>
      <c r="C48" s="4" t="s">
        <v>69</v>
      </c>
      <c r="D48" s="20" t="s">
        <v>81</v>
      </c>
      <c r="E48" s="20" t="s">
        <v>79</v>
      </c>
      <c r="F48" s="99" t="s">
        <v>116</v>
      </c>
      <c r="G48" s="20" t="s">
        <v>144</v>
      </c>
      <c r="H48" s="4" t="s">
        <v>145</v>
      </c>
      <c r="I48" s="149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43"/>
      <c r="V48" s="43"/>
      <c r="W48" s="43"/>
      <c r="X48" s="43"/>
      <c r="Y48" s="43"/>
      <c r="Z48" s="43"/>
    </row>
    <row r="49" spans="1:26" x14ac:dyDescent="0.25">
      <c r="D49" s="7"/>
      <c r="E49" s="143"/>
      <c r="F49" s="71"/>
      <c r="G49" s="71"/>
      <c r="H49" s="139"/>
      <c r="I49" s="15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51"/>
      <c r="U49" s="43"/>
      <c r="V49" s="43"/>
      <c r="W49" s="43"/>
      <c r="X49" s="43"/>
      <c r="Y49" s="43"/>
      <c r="Z49" s="43"/>
    </row>
    <row r="50" spans="1:26" x14ac:dyDescent="0.25">
      <c r="A50" s="2" t="s">
        <v>24</v>
      </c>
      <c r="B50" s="2"/>
      <c r="C50" s="2"/>
      <c r="D50" s="39">
        <f>D52+D61+D70</f>
        <v>52664893</v>
      </c>
      <c r="E50" s="144">
        <f>E52+E61+E70</f>
        <v>61743497.850000001</v>
      </c>
      <c r="F50" s="83">
        <f>F52+F61+F70</f>
        <v>21000000</v>
      </c>
      <c r="G50" s="66">
        <f>G52+G61+G70</f>
        <v>23140693</v>
      </c>
      <c r="H50" s="66">
        <f>H52+H61+H70</f>
        <v>8524200</v>
      </c>
      <c r="I50" s="65">
        <f>SUM(F50:H50)</f>
        <v>52664893</v>
      </c>
      <c r="J50" s="66"/>
      <c r="K50" s="66"/>
      <c r="L50" s="66"/>
      <c r="M50" s="66">
        <f>+G50</f>
        <v>23140693</v>
      </c>
      <c r="N50" s="66"/>
      <c r="O50" s="66"/>
      <c r="P50" s="66"/>
      <c r="Q50" s="66"/>
      <c r="R50" s="66"/>
      <c r="S50" s="66"/>
      <c r="T50" s="151"/>
      <c r="U50" s="43"/>
      <c r="V50" s="43"/>
      <c r="W50" s="43"/>
      <c r="X50" s="43"/>
      <c r="Y50" s="43"/>
      <c r="Z50" s="43"/>
    </row>
    <row r="51" spans="1:26" x14ac:dyDescent="0.25">
      <c r="D51" s="7"/>
      <c r="E51" s="145"/>
      <c r="F51" s="27"/>
      <c r="G51" s="137"/>
      <c r="I51" s="15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51"/>
      <c r="U51" s="43"/>
      <c r="V51" s="43"/>
      <c r="W51" s="43"/>
      <c r="X51" s="43"/>
      <c r="Y51" s="43"/>
      <c r="Z51" s="43"/>
    </row>
    <row r="52" spans="1:26" x14ac:dyDescent="0.25">
      <c r="B52" t="s">
        <v>26</v>
      </c>
      <c r="D52" s="7">
        <f>'1 North Wenatchee Ave'!D45</f>
        <v>16793597</v>
      </c>
      <c r="E52" s="145">
        <f>'1 North Wenatchee Ave'!E45</f>
        <v>18236277</v>
      </c>
      <c r="F52" s="27">
        <v>0</v>
      </c>
      <c r="G52" s="53">
        <f t="shared" ref="G52:G61" si="0">D52-F52-H52</f>
        <v>16793597</v>
      </c>
      <c r="H52" s="53">
        <v>0</v>
      </c>
      <c r="I52" s="47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151"/>
      <c r="U52" s="43"/>
      <c r="V52" s="43"/>
      <c r="W52" s="43"/>
      <c r="X52" s="43"/>
      <c r="Y52" s="43"/>
      <c r="Z52" s="43"/>
    </row>
    <row r="53" spans="1:26" hidden="1" x14ac:dyDescent="0.25">
      <c r="C53" t="s">
        <v>20</v>
      </c>
      <c r="D53" s="7">
        <f>'1 North Wenatchee Ave'!D46</f>
        <v>1508008</v>
      </c>
      <c r="E53" s="145">
        <f>'1 North Wenatchee Ave'!E46</f>
        <v>2702352</v>
      </c>
      <c r="F53" s="27"/>
      <c r="G53" s="53">
        <f t="shared" si="0"/>
        <v>1508008</v>
      </c>
      <c r="H53" s="53"/>
      <c r="I53" s="47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151"/>
      <c r="U53" s="43"/>
      <c r="V53" s="43"/>
      <c r="W53" s="43"/>
      <c r="X53" s="43"/>
      <c r="Y53" s="43"/>
      <c r="Z53" s="43"/>
    </row>
    <row r="54" spans="1:26" hidden="1" x14ac:dyDescent="0.25">
      <c r="C54" t="s">
        <v>21</v>
      </c>
      <c r="D54" s="7">
        <f>'1 North Wenatchee Ave'!D47</f>
        <v>0</v>
      </c>
      <c r="E54" s="145">
        <f>'1 North Wenatchee Ave'!E47</f>
        <v>0</v>
      </c>
      <c r="F54" s="27"/>
      <c r="G54" s="53">
        <f t="shared" si="0"/>
        <v>0</v>
      </c>
      <c r="H54" s="53"/>
      <c r="I54" s="47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151"/>
      <c r="U54" s="43"/>
      <c r="V54" s="43"/>
      <c r="W54" s="43"/>
      <c r="X54" s="43"/>
      <c r="Y54" s="43"/>
      <c r="Z54" s="43"/>
    </row>
    <row r="55" spans="1:26" hidden="1" x14ac:dyDescent="0.25">
      <c r="C55" t="s">
        <v>22</v>
      </c>
      <c r="D55" s="7">
        <f>'1 North Wenatchee Ave'!D48</f>
        <v>1346664</v>
      </c>
      <c r="E55" s="145">
        <f>'1 North Wenatchee Ave'!E48</f>
        <v>1475000</v>
      </c>
      <c r="F55" s="27"/>
      <c r="G55" s="53">
        <f t="shared" si="0"/>
        <v>1346664</v>
      </c>
      <c r="H55" s="53"/>
      <c r="I55" s="47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151"/>
      <c r="U55" s="43"/>
      <c r="V55" s="43"/>
      <c r="W55" s="43"/>
      <c r="X55" s="43"/>
      <c r="Y55" s="43"/>
      <c r="Z55" s="43"/>
    </row>
    <row r="56" spans="1:26" hidden="1" x14ac:dyDescent="0.25">
      <c r="C56" t="s">
        <v>37</v>
      </c>
      <c r="D56" s="7">
        <f>'1 North Wenatchee Ave'!D49</f>
        <v>2090838.75</v>
      </c>
      <c r="E56" s="145">
        <f>'1 North Wenatchee Ave'!E49</f>
        <v>2108838.75</v>
      </c>
      <c r="F56" s="27"/>
      <c r="G56" s="53">
        <f t="shared" si="0"/>
        <v>2090838.75</v>
      </c>
      <c r="H56" s="53"/>
      <c r="I56" s="47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151"/>
      <c r="U56" s="43"/>
      <c r="V56" s="43"/>
      <c r="W56" s="43"/>
      <c r="X56" s="43"/>
      <c r="Y56" s="43"/>
      <c r="Z56" s="43"/>
    </row>
    <row r="57" spans="1:26" hidden="1" x14ac:dyDescent="0.25">
      <c r="C57" t="s">
        <v>23</v>
      </c>
      <c r="D57" s="7">
        <f>'1 North Wenatchee Ave'!D50</f>
        <v>10454193.75</v>
      </c>
      <c r="E57" s="145">
        <f>'1 North Wenatchee Ave'!E50</f>
        <v>10544193.75</v>
      </c>
      <c r="F57" s="27"/>
      <c r="G57" s="53">
        <f t="shared" si="0"/>
        <v>10454193.75</v>
      </c>
      <c r="H57" s="53"/>
      <c r="I57" s="47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151"/>
      <c r="U57" s="43"/>
      <c r="V57" s="43"/>
      <c r="W57" s="43"/>
      <c r="X57" s="43"/>
      <c r="Y57" s="43"/>
      <c r="Z57" s="43"/>
    </row>
    <row r="58" spans="1:26" hidden="1" x14ac:dyDescent="0.25">
      <c r="C58" t="s">
        <v>39</v>
      </c>
      <c r="D58" s="7">
        <f>'1 North Wenatchee Ave'!D51</f>
        <v>1393892.4999999998</v>
      </c>
      <c r="E58" s="145">
        <f>'1 North Wenatchee Ave'!E51</f>
        <v>1405892.4999999998</v>
      </c>
      <c r="F58" s="27"/>
      <c r="G58" s="53">
        <f t="shared" si="0"/>
        <v>1393892.4999999998</v>
      </c>
      <c r="H58" s="53"/>
      <c r="I58" s="47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151"/>
      <c r="U58" s="43"/>
      <c r="V58" s="43"/>
      <c r="W58" s="43"/>
      <c r="X58" s="43"/>
      <c r="Y58" s="43"/>
      <c r="Z58" s="43"/>
    </row>
    <row r="59" spans="1:26" hidden="1" x14ac:dyDescent="0.25">
      <c r="D59" s="7"/>
      <c r="E59" s="145"/>
      <c r="F59" s="27"/>
      <c r="G59" s="53">
        <f t="shared" si="0"/>
        <v>0</v>
      </c>
      <c r="H59" s="53"/>
      <c r="I59" s="47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151"/>
      <c r="U59" s="43"/>
      <c r="V59" s="43"/>
      <c r="W59" s="43"/>
      <c r="X59" s="43"/>
      <c r="Y59" s="43"/>
      <c r="Z59" s="43"/>
    </row>
    <row r="60" spans="1:26" hidden="1" x14ac:dyDescent="0.25">
      <c r="D60" s="7"/>
      <c r="E60" s="145"/>
      <c r="F60" s="27"/>
      <c r="G60" s="53">
        <f t="shared" si="0"/>
        <v>0</v>
      </c>
      <c r="H60" s="53"/>
      <c r="I60" s="15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51"/>
      <c r="U60" s="43"/>
      <c r="V60" s="43"/>
      <c r="W60" s="43"/>
      <c r="X60" s="43"/>
      <c r="Y60" s="43"/>
      <c r="Z60" s="43"/>
    </row>
    <row r="61" spans="1:26" x14ac:dyDescent="0.25">
      <c r="B61" t="s">
        <v>25</v>
      </c>
      <c r="D61" s="7">
        <f>'1 North Wenatchee Ave'!D54</f>
        <v>31524200</v>
      </c>
      <c r="E61" s="145">
        <f>'1 North Wenatchee Ave'!E54</f>
        <v>38507219.850000001</v>
      </c>
      <c r="F61" s="27">
        <f>'1 North Wenatchee Ave'!D33</f>
        <v>21000000</v>
      </c>
      <c r="G61" s="53">
        <f t="shared" si="0"/>
        <v>2000000</v>
      </c>
      <c r="H61" s="53">
        <v>8524200</v>
      </c>
      <c r="I61" s="47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151"/>
      <c r="U61" s="43"/>
      <c r="V61" s="43"/>
      <c r="W61" s="43"/>
      <c r="X61" s="43"/>
      <c r="Y61" s="43"/>
      <c r="Z61" s="43"/>
    </row>
    <row r="62" spans="1:26" hidden="1" x14ac:dyDescent="0.25">
      <c r="C62" t="s">
        <v>20</v>
      </c>
      <c r="D62" s="7">
        <f>'1 North Wenatchee Ave'!D55</f>
        <v>2045999.9999999995</v>
      </c>
      <c r="E62" s="145">
        <f>'1 North Wenatchee Ave'!E55</f>
        <v>4330885.8499999996</v>
      </c>
      <c r="F62" s="27"/>
      <c r="G62" s="53">
        <f t="shared" ref="G62:G69" si="1">D62-F62</f>
        <v>2045999.9999999995</v>
      </c>
      <c r="H62" s="53"/>
      <c r="I62" s="47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151"/>
      <c r="U62" s="43"/>
      <c r="V62" s="43"/>
      <c r="W62" s="43"/>
      <c r="X62" s="43"/>
      <c r="Y62" s="43"/>
      <c r="Z62" s="43"/>
    </row>
    <row r="63" spans="1:26" hidden="1" x14ac:dyDescent="0.25">
      <c r="C63" t="s">
        <v>21</v>
      </c>
      <c r="D63" s="7">
        <f>'1 North Wenatchee Ave'!D56</f>
        <v>0</v>
      </c>
      <c r="E63" s="145">
        <f>'1 North Wenatchee Ave'!E56</f>
        <v>0</v>
      </c>
      <c r="F63" s="27"/>
      <c r="G63" s="53">
        <f t="shared" si="1"/>
        <v>0</v>
      </c>
      <c r="H63" s="53"/>
      <c r="I63" s="47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151"/>
      <c r="U63" s="43"/>
      <c r="V63" s="43"/>
      <c r="W63" s="43"/>
      <c r="X63" s="43"/>
      <c r="Y63" s="43"/>
      <c r="Z63" s="43"/>
    </row>
    <row r="64" spans="1:26" hidden="1" x14ac:dyDescent="0.25">
      <c r="C64" t="s">
        <v>22</v>
      </c>
      <c r="D64" s="7">
        <f>'1 North Wenatchee Ave'!D57</f>
        <v>0</v>
      </c>
      <c r="E64" s="145">
        <f>'1 North Wenatchee Ave'!E57</f>
        <v>3290340</v>
      </c>
      <c r="F64" s="27"/>
      <c r="G64" s="53">
        <f t="shared" si="1"/>
        <v>0</v>
      </c>
      <c r="H64" s="53"/>
      <c r="I64" s="47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151"/>
      <c r="U64" s="43"/>
      <c r="V64" s="43"/>
      <c r="W64" s="43"/>
      <c r="X64" s="43"/>
      <c r="Y64" s="43"/>
      <c r="Z64" s="43"/>
    </row>
    <row r="65" spans="1:26" hidden="1" x14ac:dyDescent="0.25">
      <c r="C65" t="s">
        <v>37</v>
      </c>
      <c r="D65" s="7">
        <f>'1 North Wenatchee Ave'!D58</f>
        <v>2837000</v>
      </c>
      <c r="E65" s="145">
        <f>'1 North Wenatchee Ave'!E58</f>
        <v>2837000</v>
      </c>
      <c r="F65" s="27"/>
      <c r="G65" s="53">
        <f t="shared" si="1"/>
        <v>2837000</v>
      </c>
      <c r="H65" s="53"/>
      <c r="I65" s="47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151"/>
      <c r="U65" s="43"/>
      <c r="V65" s="43"/>
      <c r="W65" s="43"/>
      <c r="X65" s="43"/>
      <c r="Y65" s="43"/>
      <c r="Z65" s="43"/>
    </row>
    <row r="66" spans="1:26" hidden="1" x14ac:dyDescent="0.25">
      <c r="C66" t="s">
        <v>23</v>
      </c>
      <c r="D66" s="7">
        <f>'1 North Wenatchee Ave'!D59</f>
        <v>23639000</v>
      </c>
      <c r="E66" s="145">
        <f>'1 North Wenatchee Ave'!E59</f>
        <v>25046794</v>
      </c>
      <c r="F66" s="27"/>
      <c r="G66" s="53">
        <f t="shared" si="1"/>
        <v>23639000</v>
      </c>
      <c r="H66" s="53"/>
      <c r="I66" s="47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151"/>
      <c r="U66" s="43"/>
      <c r="V66" s="43"/>
      <c r="W66" s="43"/>
      <c r="X66" s="43"/>
      <c r="Y66" s="43"/>
      <c r="Z66" s="43"/>
    </row>
    <row r="67" spans="1:26" hidden="1" x14ac:dyDescent="0.25">
      <c r="C67" t="s">
        <v>39</v>
      </c>
      <c r="D67" s="7">
        <f>'1 North Wenatchee Ave'!D60</f>
        <v>3002200</v>
      </c>
      <c r="E67" s="145">
        <f>'1 North Wenatchee Ave'!E60</f>
        <v>3002200</v>
      </c>
      <c r="F67" s="27"/>
      <c r="G67" s="53">
        <f t="shared" si="1"/>
        <v>3002200</v>
      </c>
      <c r="H67" s="53"/>
      <c r="I67" s="47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151"/>
      <c r="U67" s="43"/>
      <c r="V67" s="43"/>
      <c r="W67" s="43"/>
      <c r="X67" s="43"/>
      <c r="Y67" s="43"/>
      <c r="Z67" s="43"/>
    </row>
    <row r="68" spans="1:26" hidden="1" x14ac:dyDescent="0.25">
      <c r="D68" s="7"/>
      <c r="E68" s="145"/>
      <c r="F68" s="27"/>
      <c r="G68" s="53">
        <f t="shared" si="1"/>
        <v>0</v>
      </c>
      <c r="H68" s="53"/>
      <c r="I68" s="47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151"/>
      <c r="U68" s="43"/>
      <c r="V68" s="43"/>
      <c r="W68" s="43"/>
      <c r="X68" s="43"/>
      <c r="Y68" s="43"/>
      <c r="Z68" s="43"/>
    </row>
    <row r="69" spans="1:26" hidden="1" x14ac:dyDescent="0.25">
      <c r="D69" s="7"/>
      <c r="E69" s="145"/>
      <c r="F69" s="27"/>
      <c r="G69" s="53">
        <f t="shared" si="1"/>
        <v>0</v>
      </c>
      <c r="H69" s="53"/>
      <c r="I69" s="15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51"/>
      <c r="U69" s="43"/>
      <c r="V69" s="43"/>
      <c r="W69" s="43"/>
      <c r="X69" s="43"/>
      <c r="Y69" s="43"/>
      <c r="Z69" s="43"/>
    </row>
    <row r="70" spans="1:26" x14ac:dyDescent="0.25">
      <c r="B70" t="s">
        <v>42</v>
      </c>
      <c r="D70" s="7">
        <f>'1 North Wenatchee Ave'!D63</f>
        <v>4347096</v>
      </c>
      <c r="E70" s="145">
        <f>'1 North Wenatchee Ave'!E63</f>
        <v>5000001</v>
      </c>
      <c r="F70" s="27">
        <v>0</v>
      </c>
      <c r="G70" s="53">
        <f>D70-F70-H70</f>
        <v>4347096</v>
      </c>
      <c r="H70" s="53">
        <v>0</v>
      </c>
      <c r="I70" s="47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151"/>
      <c r="U70" s="43"/>
      <c r="V70" s="43"/>
      <c r="W70" s="43"/>
      <c r="X70" s="43"/>
      <c r="Y70" s="43"/>
      <c r="Z70" s="43"/>
    </row>
    <row r="71" spans="1:26" hidden="1" x14ac:dyDescent="0.25">
      <c r="C71" t="s">
        <v>20</v>
      </c>
      <c r="D71" s="7">
        <f>'1 North Wenatchee Ave'!D64</f>
        <v>6021</v>
      </c>
      <c r="E71" s="145"/>
      <c r="F71" s="27"/>
      <c r="G71" s="53"/>
      <c r="I71" s="47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151"/>
      <c r="U71" s="43"/>
      <c r="V71" s="43"/>
      <c r="W71" s="43"/>
      <c r="X71" s="43"/>
      <c r="Y71" s="43"/>
      <c r="Z71" s="43"/>
    </row>
    <row r="72" spans="1:26" hidden="1" x14ac:dyDescent="0.25">
      <c r="C72" t="s">
        <v>21</v>
      </c>
      <c r="D72" s="7">
        <f>'1 North Wenatchee Ave'!D65</f>
        <v>0</v>
      </c>
      <c r="E72" s="145"/>
      <c r="F72" s="27"/>
      <c r="G72" s="53"/>
      <c r="I72" s="47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151"/>
      <c r="U72" s="43"/>
      <c r="V72" s="43"/>
      <c r="W72" s="43"/>
      <c r="X72" s="43"/>
      <c r="Y72" s="43"/>
      <c r="Z72" s="43"/>
    </row>
    <row r="73" spans="1:26" hidden="1" x14ac:dyDescent="0.25">
      <c r="C73" t="s">
        <v>22</v>
      </c>
      <c r="D73" s="7">
        <f>'1 North Wenatchee Ave'!D66</f>
        <v>0</v>
      </c>
      <c r="E73" s="145"/>
      <c r="F73" s="27"/>
      <c r="G73" s="53"/>
      <c r="I73" s="47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151"/>
      <c r="U73" s="43"/>
      <c r="V73" s="43"/>
      <c r="W73" s="43"/>
      <c r="X73" s="43"/>
      <c r="Y73" s="43"/>
      <c r="Z73" s="43"/>
    </row>
    <row r="74" spans="1:26" hidden="1" x14ac:dyDescent="0.25">
      <c r="C74" t="s">
        <v>37</v>
      </c>
      <c r="D74" s="7">
        <f>'1 North Wenatchee Ave'!D67</f>
        <v>651161.25</v>
      </c>
      <c r="E74" s="145"/>
      <c r="F74" s="27"/>
      <c r="G74" s="53"/>
      <c r="I74" s="47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151"/>
      <c r="U74" s="43"/>
      <c r="V74" s="43"/>
      <c r="W74" s="43"/>
      <c r="X74" s="43"/>
      <c r="Y74" s="43"/>
      <c r="Z74" s="43"/>
    </row>
    <row r="75" spans="1:26" hidden="1" x14ac:dyDescent="0.25">
      <c r="C75" t="s">
        <v>23</v>
      </c>
      <c r="D75" s="7">
        <f>'1 North Wenatchee Ave'!D68</f>
        <v>3255806.25</v>
      </c>
      <c r="E75" s="145"/>
      <c r="F75" s="27"/>
      <c r="G75" s="53"/>
      <c r="I75" s="47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151"/>
      <c r="U75" s="43"/>
      <c r="V75" s="43"/>
      <c r="W75" s="43"/>
      <c r="X75" s="43"/>
      <c r="Y75" s="43"/>
      <c r="Z75" s="43"/>
    </row>
    <row r="76" spans="1:26" hidden="1" x14ac:dyDescent="0.25">
      <c r="C76" t="s">
        <v>39</v>
      </c>
      <c r="D76" s="7">
        <f>'1 North Wenatchee Ave'!D69</f>
        <v>434107.50000000006</v>
      </c>
      <c r="E76" s="145"/>
      <c r="F76" s="27"/>
      <c r="G76" s="53"/>
      <c r="I76" s="47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151"/>
      <c r="U76" s="43"/>
      <c r="V76" s="43"/>
      <c r="W76" s="43"/>
      <c r="X76" s="43"/>
      <c r="Y76" s="43"/>
      <c r="Z76" s="43"/>
    </row>
    <row r="77" spans="1:26" hidden="1" x14ac:dyDescent="0.25">
      <c r="D77" s="7"/>
      <c r="E77" s="145"/>
      <c r="F77" s="27"/>
      <c r="G77" s="53"/>
      <c r="I77" s="47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151"/>
      <c r="U77" s="43"/>
      <c r="V77" s="43"/>
      <c r="W77" s="43"/>
      <c r="X77" s="43"/>
      <c r="Y77" s="43"/>
      <c r="Z77" s="43"/>
    </row>
    <row r="78" spans="1:26" hidden="1" x14ac:dyDescent="0.25">
      <c r="D78" s="7"/>
      <c r="E78" s="145"/>
      <c r="F78" s="27"/>
      <c r="G78" s="53"/>
      <c r="I78" s="15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51"/>
      <c r="U78" s="43"/>
      <c r="V78" s="43"/>
      <c r="W78" s="43"/>
      <c r="X78" s="43"/>
      <c r="Y78" s="43"/>
      <c r="Z78" s="43"/>
    </row>
    <row r="79" spans="1:26" x14ac:dyDescent="0.25">
      <c r="D79" s="7"/>
      <c r="E79" s="145"/>
      <c r="F79" s="27"/>
      <c r="G79" s="53"/>
      <c r="I79" s="15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51"/>
      <c r="U79" s="43"/>
      <c r="V79" s="43"/>
      <c r="W79" s="43"/>
      <c r="X79" s="43"/>
      <c r="Y79" s="43"/>
      <c r="Z79" s="43"/>
    </row>
    <row r="80" spans="1:26" x14ac:dyDescent="0.25">
      <c r="A80" s="2" t="s">
        <v>27</v>
      </c>
      <c r="B80" s="2"/>
      <c r="C80" s="2"/>
      <c r="D80" s="39">
        <f>D82+D99</f>
        <v>137949360</v>
      </c>
      <c r="E80" s="144">
        <f>E82+E99</f>
        <v>141157431</v>
      </c>
      <c r="F80" s="83">
        <f>F82+F99</f>
        <v>103049360</v>
      </c>
      <c r="G80" s="66">
        <f>G82+G99</f>
        <v>11500000</v>
      </c>
      <c r="H80" s="66">
        <f>H82+H99</f>
        <v>23400000</v>
      </c>
      <c r="I80" s="65">
        <f>SUM(F80:H80)</f>
        <v>137949360</v>
      </c>
      <c r="J80" s="66">
        <f>SUM(J83:J99)</f>
        <v>137549360</v>
      </c>
      <c r="K80" s="66">
        <f>SUM(K83:K99)</f>
        <v>141157431</v>
      </c>
      <c r="L80" s="66"/>
      <c r="M80" s="66"/>
      <c r="N80" s="66"/>
      <c r="O80" s="66"/>
      <c r="P80" s="66"/>
      <c r="Q80" s="66"/>
      <c r="R80" s="66"/>
      <c r="S80" s="66"/>
      <c r="T80" s="153"/>
      <c r="U80" s="43"/>
      <c r="V80" s="43"/>
      <c r="W80" s="43"/>
      <c r="X80" s="43"/>
      <c r="Y80" s="43"/>
      <c r="Z80" s="43"/>
    </row>
    <row r="81" spans="2:26" x14ac:dyDescent="0.25">
      <c r="D81" s="7"/>
      <c r="E81" s="145"/>
      <c r="F81" s="27"/>
      <c r="G81" s="53"/>
      <c r="I81" s="15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51"/>
      <c r="U81" s="43"/>
      <c r="V81" s="43"/>
      <c r="W81" s="43"/>
      <c r="X81" s="43"/>
      <c r="Y81" s="43"/>
      <c r="Z81" s="43"/>
    </row>
    <row r="82" spans="2:26" x14ac:dyDescent="0.25">
      <c r="B82" t="s">
        <v>218</v>
      </c>
      <c r="D82" s="7">
        <f>'2 Confluence Parkway'!D45+'2 Confluence Parkway'!D54</f>
        <v>127949360</v>
      </c>
      <c r="E82" s="145">
        <f>'2 Confluence Parkway'!E45+'2 Confluence Parkway'!E54</f>
        <v>131107431</v>
      </c>
      <c r="F82" s="27">
        <f>103049360-10000000</f>
        <v>93049360</v>
      </c>
      <c r="G82" s="53">
        <f t="shared" ref="G82:G99" si="2">D82-F82-H82</f>
        <v>11500000</v>
      </c>
      <c r="H82" s="53">
        <v>23400000</v>
      </c>
      <c r="I82" s="47"/>
      <c r="J82" s="53">
        <f>+J83+J91</f>
        <v>127549360</v>
      </c>
      <c r="K82" s="53">
        <f>+K83+K91</f>
        <v>131107431</v>
      </c>
      <c r="L82" s="53"/>
      <c r="M82" s="53"/>
      <c r="N82" s="53"/>
      <c r="O82" s="53"/>
      <c r="P82" s="53"/>
      <c r="Q82" s="53"/>
      <c r="R82" s="53"/>
      <c r="S82" s="53"/>
      <c r="T82" s="151"/>
      <c r="U82" s="43"/>
      <c r="V82" s="43"/>
      <c r="W82" s="43"/>
      <c r="X82" s="43"/>
      <c r="Y82" s="43"/>
      <c r="Z82" s="43"/>
    </row>
    <row r="83" spans="2:26" x14ac:dyDescent="0.25">
      <c r="C83" t="s">
        <v>20</v>
      </c>
      <c r="D83" s="7">
        <f>'2 Confluence Parkway'!D46</f>
        <v>4350000</v>
      </c>
      <c r="E83" s="145">
        <f>'2 Confluence Parkway'!E46</f>
        <v>5000000</v>
      </c>
      <c r="F83" s="27"/>
      <c r="G83" s="53">
        <f t="shared" si="2"/>
        <v>4350000</v>
      </c>
      <c r="H83" s="53"/>
      <c r="I83" s="47" t="s">
        <v>329</v>
      </c>
      <c r="J83" s="53">
        <f>SUM(D83:D88)</f>
        <v>60687756</v>
      </c>
      <c r="K83" s="53">
        <f>SUM(E83:E88)</f>
        <v>61837756</v>
      </c>
      <c r="L83" s="53"/>
      <c r="M83" s="53"/>
      <c r="N83" s="53"/>
      <c r="O83" s="53"/>
      <c r="P83" s="53"/>
      <c r="Q83" s="53"/>
      <c r="R83" s="53"/>
      <c r="S83" s="53"/>
      <c r="T83" s="151"/>
      <c r="U83" s="43"/>
      <c r="V83" s="43"/>
      <c r="W83" s="43"/>
      <c r="X83" s="43"/>
      <c r="Y83" s="43"/>
      <c r="Z83" s="43"/>
    </row>
    <row r="84" spans="2:26" x14ac:dyDescent="0.25">
      <c r="C84" t="s">
        <v>21</v>
      </c>
      <c r="D84" s="7">
        <f>'2 Confluence Parkway'!D47</f>
        <v>0</v>
      </c>
      <c r="E84" s="145">
        <f>'2 Confluence Parkway'!E47</f>
        <v>500000</v>
      </c>
      <c r="F84" s="27"/>
      <c r="G84" s="53">
        <f t="shared" si="2"/>
        <v>0</v>
      </c>
      <c r="H84" s="53"/>
      <c r="I84" s="47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151"/>
      <c r="U84" s="43"/>
      <c r="V84" s="43"/>
      <c r="W84" s="43"/>
      <c r="X84" s="43"/>
      <c r="Y84" s="43"/>
      <c r="Z84" s="43"/>
    </row>
    <row r="85" spans="2:26" x14ac:dyDescent="0.25">
      <c r="C85" t="s">
        <v>22</v>
      </c>
      <c r="D85" s="7">
        <f>'2 Confluence Parkway'!D48</f>
        <v>9648428</v>
      </c>
      <c r="E85" s="145">
        <f>'2 Confluence Parkway'!E48</f>
        <v>9648428</v>
      </c>
      <c r="F85" s="27"/>
      <c r="G85" s="53">
        <f t="shared" si="2"/>
        <v>9648428</v>
      </c>
      <c r="H85" s="53"/>
      <c r="I85" s="47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151"/>
      <c r="U85" s="43"/>
      <c r="V85" s="43"/>
      <c r="W85" s="43"/>
      <c r="X85" s="43"/>
      <c r="Y85" s="43"/>
      <c r="Z85" s="43"/>
    </row>
    <row r="86" spans="2:26" x14ac:dyDescent="0.25">
      <c r="C86" t="s">
        <v>37</v>
      </c>
      <c r="D86" s="7">
        <f>'2 Confluence Parkway'!D49</f>
        <v>4400000</v>
      </c>
      <c r="E86" s="145">
        <f>'2 Confluence Parkway'!E49</f>
        <v>4400000</v>
      </c>
      <c r="F86" s="27"/>
      <c r="G86" s="53">
        <f t="shared" si="2"/>
        <v>4400000</v>
      </c>
      <c r="H86" s="53"/>
      <c r="I86" s="47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151"/>
      <c r="U86" s="43"/>
      <c r="V86" s="43"/>
      <c r="W86" s="43"/>
      <c r="X86" s="43"/>
      <c r="Y86" s="43"/>
      <c r="Z86" s="43"/>
    </row>
    <row r="87" spans="2:26" x14ac:dyDescent="0.25">
      <c r="C87" t="s">
        <v>23</v>
      </c>
      <c r="D87" s="7">
        <f>'2 Confluence Parkway'!D50</f>
        <v>36669000</v>
      </c>
      <c r="E87" s="145">
        <f>'2 Confluence Parkway'!E50</f>
        <v>36669000</v>
      </c>
      <c r="F87" s="27"/>
      <c r="G87" s="53">
        <f t="shared" si="2"/>
        <v>36669000</v>
      </c>
      <c r="H87" s="53"/>
      <c r="I87" s="47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151"/>
      <c r="U87" s="43"/>
      <c r="V87" s="43"/>
      <c r="W87" s="43"/>
      <c r="X87" s="43"/>
      <c r="Y87" s="43"/>
      <c r="Z87" s="43"/>
    </row>
    <row r="88" spans="2:26" x14ac:dyDescent="0.25">
      <c r="C88" t="s">
        <v>39</v>
      </c>
      <c r="D88" s="7">
        <f>'2 Confluence Parkway'!D51</f>
        <v>5620328</v>
      </c>
      <c r="E88" s="145">
        <f>'2 Confluence Parkway'!E51</f>
        <v>5620328</v>
      </c>
      <c r="F88" s="27"/>
      <c r="G88" s="53">
        <f t="shared" si="2"/>
        <v>5620328</v>
      </c>
      <c r="H88" s="53"/>
      <c r="I88" s="47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151"/>
      <c r="U88" s="43"/>
      <c r="V88" s="43"/>
      <c r="W88" s="43"/>
      <c r="X88" s="43"/>
      <c r="Y88" s="43"/>
      <c r="Z88" s="43"/>
    </row>
    <row r="89" spans="2:26" x14ac:dyDescent="0.25">
      <c r="D89" s="7"/>
      <c r="E89" s="145"/>
      <c r="F89" s="27"/>
      <c r="G89" s="53">
        <f t="shared" si="2"/>
        <v>0</v>
      </c>
      <c r="H89" s="53"/>
      <c r="I89" s="47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151"/>
      <c r="U89" s="43"/>
      <c r="V89" s="43"/>
      <c r="W89" s="43"/>
      <c r="X89" s="43"/>
      <c r="Y89" s="43"/>
      <c r="Z89" s="43"/>
    </row>
    <row r="90" spans="2:26" x14ac:dyDescent="0.25">
      <c r="D90" s="7"/>
      <c r="E90" s="145"/>
      <c r="F90" s="27"/>
      <c r="G90" s="53">
        <f t="shared" si="2"/>
        <v>0</v>
      </c>
      <c r="H90" s="53"/>
      <c r="I90" s="15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51"/>
      <c r="U90" s="43"/>
      <c r="V90" s="43"/>
      <c r="W90" s="43"/>
      <c r="X90" s="43"/>
      <c r="Y90" s="43"/>
      <c r="Z90" s="43"/>
    </row>
    <row r="91" spans="2:26" x14ac:dyDescent="0.25">
      <c r="C91" t="s">
        <v>20</v>
      </c>
      <c r="D91" s="7">
        <f>'2 Confluence Parkway'!D55</f>
        <v>4699578</v>
      </c>
      <c r="E91" s="145">
        <f>'2 Confluence Parkway'!E55</f>
        <v>5711000</v>
      </c>
      <c r="F91" s="27"/>
      <c r="G91" s="53">
        <f t="shared" si="2"/>
        <v>4699578</v>
      </c>
      <c r="H91" s="53"/>
      <c r="I91" s="47" t="s">
        <v>330</v>
      </c>
      <c r="J91" s="53">
        <f>SUM(D91:D96)</f>
        <v>66861604</v>
      </c>
      <c r="K91" s="53">
        <f>SUM(E91:E96)</f>
        <v>69269675</v>
      </c>
      <c r="L91" s="53"/>
      <c r="M91" s="53"/>
      <c r="N91" s="53"/>
      <c r="O91" s="53"/>
      <c r="P91" s="53"/>
      <c r="Q91" s="53"/>
      <c r="R91" s="53"/>
      <c r="S91" s="53"/>
      <c r="T91" s="151"/>
      <c r="U91" s="43"/>
      <c r="V91" s="43"/>
      <c r="W91" s="43"/>
      <c r="X91" s="43"/>
      <c r="Y91" s="43"/>
      <c r="Z91" s="43"/>
    </row>
    <row r="92" spans="2:26" x14ac:dyDescent="0.25">
      <c r="C92" t="s">
        <v>21</v>
      </c>
      <c r="D92" s="7">
        <f>'2 Confluence Parkway'!D56</f>
        <v>1053351</v>
      </c>
      <c r="E92" s="145">
        <f>'2 Confluence Parkway'!E56</f>
        <v>2450000</v>
      </c>
      <c r="F92" s="27"/>
      <c r="G92" s="53">
        <f t="shared" si="2"/>
        <v>1053351</v>
      </c>
      <c r="H92" s="53"/>
      <c r="I92" s="47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151"/>
      <c r="U92" s="43"/>
      <c r="V92" s="43"/>
      <c r="W92" s="43"/>
      <c r="X92" s="43"/>
      <c r="Y92" s="43"/>
      <c r="Z92" s="43"/>
    </row>
    <row r="93" spans="2:26" x14ac:dyDescent="0.25">
      <c r="C93" t="s">
        <v>22</v>
      </c>
      <c r="D93" s="7">
        <f>'2 Confluence Parkway'!D57</f>
        <v>9970000</v>
      </c>
      <c r="E93" s="145">
        <f>'2 Confluence Parkway'!E57</f>
        <v>9970000</v>
      </c>
      <c r="F93" s="27"/>
      <c r="G93" s="53">
        <f t="shared" si="2"/>
        <v>9970000</v>
      </c>
      <c r="H93" s="53"/>
      <c r="I93" s="47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151"/>
      <c r="U93" s="43"/>
      <c r="V93" s="43"/>
      <c r="W93" s="43"/>
      <c r="X93" s="43"/>
      <c r="Y93" s="43"/>
      <c r="Z93" s="43"/>
    </row>
    <row r="94" spans="2:26" x14ac:dyDescent="0.25">
      <c r="C94" t="s">
        <v>37</v>
      </c>
      <c r="D94" s="7">
        <f>'2 Confluence Parkway'!D58</f>
        <v>4312700</v>
      </c>
      <c r="E94" s="145">
        <f>'2 Confluence Parkway'!E58</f>
        <v>4312700</v>
      </c>
      <c r="F94" s="27"/>
      <c r="G94" s="53">
        <f t="shared" si="2"/>
        <v>4312700</v>
      </c>
      <c r="H94" s="53"/>
      <c r="I94" s="47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151"/>
      <c r="U94" s="43"/>
      <c r="V94" s="43"/>
      <c r="W94" s="43"/>
      <c r="X94" s="43"/>
      <c r="Y94" s="43"/>
      <c r="Z94" s="43"/>
    </row>
    <row r="95" spans="2:26" x14ac:dyDescent="0.25">
      <c r="C95" t="s">
        <v>23</v>
      </c>
      <c r="D95" s="7">
        <f>'2 Confluence Parkway'!D59</f>
        <v>35939000</v>
      </c>
      <c r="E95" s="145">
        <f>'2 Confluence Parkway'!E59</f>
        <v>35939000</v>
      </c>
      <c r="F95" s="27"/>
      <c r="G95" s="53">
        <f t="shared" si="2"/>
        <v>35939000</v>
      </c>
      <c r="H95" s="53"/>
      <c r="I95" s="47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151"/>
      <c r="U95" s="43"/>
      <c r="V95" s="43"/>
      <c r="W95" s="43"/>
      <c r="X95" s="43"/>
      <c r="Y95" s="43"/>
      <c r="Z95" s="43"/>
    </row>
    <row r="96" spans="2:26" x14ac:dyDescent="0.25">
      <c r="C96" t="s">
        <v>39</v>
      </c>
      <c r="D96" s="7">
        <f>'2 Confluence Parkway'!D60</f>
        <v>10886975</v>
      </c>
      <c r="E96" s="145">
        <f>'2 Confluence Parkway'!E60</f>
        <v>10886975</v>
      </c>
      <c r="F96" s="27"/>
      <c r="G96" s="53">
        <f t="shared" si="2"/>
        <v>10886975</v>
      </c>
      <c r="H96" s="53"/>
      <c r="I96" s="47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151"/>
      <c r="U96" s="43"/>
      <c r="V96" s="43"/>
      <c r="W96" s="43"/>
      <c r="X96" s="43"/>
      <c r="Y96" s="43"/>
      <c r="Z96" s="43"/>
    </row>
    <row r="97" spans="1:26" x14ac:dyDescent="0.25">
      <c r="D97" s="7"/>
      <c r="E97" s="145"/>
      <c r="F97" s="27"/>
      <c r="G97" s="53">
        <f t="shared" si="2"/>
        <v>0</v>
      </c>
      <c r="H97" s="53"/>
      <c r="I97" s="47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151"/>
      <c r="U97" s="43"/>
      <c r="V97" s="43"/>
      <c r="W97" s="43"/>
      <c r="X97" s="43"/>
      <c r="Y97" s="43"/>
      <c r="Z97" s="43"/>
    </row>
    <row r="98" spans="1:26" x14ac:dyDescent="0.25">
      <c r="D98" s="7"/>
      <c r="E98" s="145"/>
      <c r="F98" s="27"/>
      <c r="G98" s="53">
        <f t="shared" si="2"/>
        <v>0</v>
      </c>
      <c r="H98" s="53"/>
      <c r="I98" s="15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51"/>
      <c r="U98" s="43"/>
      <c r="V98" s="43"/>
      <c r="W98" s="43"/>
      <c r="X98" s="43"/>
      <c r="Y98" s="43"/>
      <c r="Z98" s="43"/>
    </row>
    <row r="99" spans="1:26" x14ac:dyDescent="0.25">
      <c r="A99" s="2"/>
      <c r="B99" t="s">
        <v>290</v>
      </c>
      <c r="C99" s="2"/>
      <c r="D99" s="7">
        <f>'2 Confluence Parkway'!D64</f>
        <v>10000000</v>
      </c>
      <c r="E99" s="145">
        <f>'2 Confluence Parkway'!E64</f>
        <v>10050000</v>
      </c>
      <c r="F99" s="27">
        <f>SUM('2 Confluence Parkway'!K64:M64)</f>
        <v>10000000</v>
      </c>
      <c r="G99" s="53">
        <f t="shared" si="2"/>
        <v>0</v>
      </c>
      <c r="H99" s="53">
        <v>0</v>
      </c>
      <c r="I99" s="47"/>
      <c r="J99" s="53">
        <f>+D99</f>
        <v>10000000</v>
      </c>
      <c r="K99" s="53">
        <f>+E99</f>
        <v>10050000</v>
      </c>
      <c r="L99" s="53"/>
      <c r="M99" s="53"/>
      <c r="N99" s="53"/>
      <c r="O99" s="53"/>
      <c r="P99" s="53"/>
      <c r="Q99" s="53"/>
      <c r="R99" s="53"/>
      <c r="S99" s="53"/>
      <c r="T99" s="151"/>
      <c r="U99" s="43"/>
      <c r="V99" s="43"/>
      <c r="W99" s="43"/>
      <c r="X99" s="43"/>
      <c r="Y99" s="43"/>
      <c r="Z99" s="43"/>
    </row>
    <row r="100" spans="1:26" hidden="1" x14ac:dyDescent="0.25">
      <c r="C100" t="s">
        <v>20</v>
      </c>
      <c r="D100" s="7">
        <f>'2 Confluence Parkway'!D65</f>
        <v>600000</v>
      </c>
      <c r="E100" s="145"/>
      <c r="F100" s="27"/>
      <c r="G100" s="53"/>
      <c r="I100" s="47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151"/>
      <c r="U100" s="43"/>
      <c r="V100" s="43"/>
      <c r="W100" s="43"/>
      <c r="X100" s="43"/>
      <c r="Y100" s="43"/>
      <c r="Z100" s="43"/>
    </row>
    <row r="101" spans="1:26" hidden="1" x14ac:dyDescent="0.25">
      <c r="C101" t="s">
        <v>21</v>
      </c>
      <c r="D101" s="7">
        <f>'2 Confluence Parkway'!D66</f>
        <v>200000</v>
      </c>
      <c r="E101" s="145"/>
      <c r="F101" s="27"/>
      <c r="G101" s="53"/>
      <c r="I101" s="47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151"/>
      <c r="U101" s="43"/>
      <c r="V101" s="43"/>
      <c r="W101" s="43"/>
      <c r="X101" s="43"/>
      <c r="Y101" s="43"/>
      <c r="Z101" s="43"/>
    </row>
    <row r="102" spans="1:26" hidden="1" x14ac:dyDescent="0.25">
      <c r="C102" t="s">
        <v>22</v>
      </c>
      <c r="D102" s="7">
        <f>'2 Confluence Parkway'!D67</f>
        <v>0</v>
      </c>
      <c r="E102" s="145"/>
      <c r="F102" s="27"/>
      <c r="G102" s="53"/>
      <c r="I102" s="47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151"/>
      <c r="U102" s="43"/>
      <c r="V102" s="43"/>
      <c r="W102" s="43"/>
      <c r="X102" s="43"/>
      <c r="Y102" s="43"/>
      <c r="Z102" s="43"/>
    </row>
    <row r="103" spans="1:26" hidden="1" x14ac:dyDescent="0.25">
      <c r="C103" t="s">
        <v>37</v>
      </c>
      <c r="D103" s="7">
        <f>'2 Confluence Parkway'!D68</f>
        <v>1040000</v>
      </c>
      <c r="E103" s="145"/>
      <c r="F103" s="27"/>
      <c r="G103" s="53"/>
      <c r="I103" s="47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151"/>
      <c r="U103" s="43"/>
      <c r="V103" s="43"/>
      <c r="W103" s="43"/>
      <c r="X103" s="43"/>
      <c r="Y103" s="43"/>
      <c r="Z103" s="43"/>
    </row>
    <row r="104" spans="1:26" hidden="1" x14ac:dyDescent="0.25">
      <c r="C104" t="s">
        <v>23</v>
      </c>
      <c r="D104" s="7">
        <f>'2 Confluence Parkway'!D69</f>
        <v>5400000</v>
      </c>
      <c r="E104" s="145"/>
      <c r="F104" s="27"/>
      <c r="G104" s="53"/>
      <c r="I104" s="47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151"/>
      <c r="U104" s="43"/>
      <c r="V104" s="43"/>
      <c r="W104" s="43"/>
      <c r="X104" s="43"/>
      <c r="Y104" s="43"/>
      <c r="Z104" s="43"/>
    </row>
    <row r="105" spans="1:26" hidden="1" x14ac:dyDescent="0.25">
      <c r="C105" t="s">
        <v>40</v>
      </c>
      <c r="D105" s="7">
        <f>'2 Confluence Parkway'!D70</f>
        <v>2760000</v>
      </c>
      <c r="E105" s="145"/>
      <c r="F105" s="27"/>
      <c r="G105" s="53"/>
      <c r="I105" s="47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151"/>
      <c r="U105" s="43"/>
      <c r="V105" s="43"/>
      <c r="W105" s="43"/>
      <c r="X105" s="43"/>
      <c r="Y105" s="43"/>
      <c r="Z105" s="43"/>
    </row>
    <row r="106" spans="1:26" x14ac:dyDescent="0.25">
      <c r="D106" s="7"/>
      <c r="E106" s="145"/>
      <c r="F106" s="27"/>
      <c r="G106" s="53"/>
      <c r="I106" s="15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51"/>
      <c r="U106" s="43"/>
      <c r="V106" s="43"/>
      <c r="W106" s="43"/>
      <c r="X106" s="43"/>
      <c r="Y106" s="43"/>
      <c r="Z106" s="43"/>
    </row>
    <row r="107" spans="1:26" x14ac:dyDescent="0.25">
      <c r="A107" s="2" t="s">
        <v>55</v>
      </c>
      <c r="B107" s="2"/>
      <c r="C107" s="2"/>
      <c r="D107" s="39">
        <f>D109</f>
        <v>16364756</v>
      </c>
      <c r="E107" s="144">
        <f>E109</f>
        <v>17242134</v>
      </c>
      <c r="F107" s="83">
        <f>F109</f>
        <v>16364756</v>
      </c>
      <c r="G107" s="66">
        <f>G109</f>
        <v>0</v>
      </c>
      <c r="H107" s="67">
        <f>H109</f>
        <v>0</v>
      </c>
      <c r="I107" s="62">
        <f>SUM(F107:H107)</f>
        <v>16364756</v>
      </c>
      <c r="J107" s="207"/>
      <c r="K107" s="66"/>
      <c r="L107" s="66"/>
      <c r="M107" s="66"/>
      <c r="N107" s="66"/>
      <c r="O107" s="66"/>
      <c r="P107" s="66"/>
      <c r="Q107" s="66"/>
      <c r="R107" s="66"/>
      <c r="S107" s="66"/>
      <c r="T107" s="153"/>
      <c r="U107" s="43"/>
      <c r="V107" s="43"/>
      <c r="W107" s="43"/>
      <c r="X107" s="43"/>
      <c r="Y107" s="43"/>
      <c r="Z107" s="43"/>
    </row>
    <row r="108" spans="1:26" x14ac:dyDescent="0.25">
      <c r="D108" s="7"/>
      <c r="E108" s="145"/>
      <c r="F108" s="27"/>
      <c r="G108" s="53"/>
      <c r="I108" s="15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51"/>
      <c r="U108" s="43"/>
      <c r="V108" s="43"/>
      <c r="W108" s="43"/>
      <c r="X108" s="43"/>
      <c r="Y108" s="43"/>
      <c r="Z108" s="43"/>
    </row>
    <row r="109" spans="1:26" hidden="1" x14ac:dyDescent="0.25">
      <c r="B109" t="s">
        <v>54</v>
      </c>
      <c r="D109" s="16">
        <f>'3 Cascade Int'!D45+'3 Cascade Int'!D55</f>
        <v>16364756</v>
      </c>
      <c r="E109" s="146">
        <f>'3 Cascade Int'!E45+'3 Cascade Int'!E55</f>
        <v>17242134</v>
      </c>
      <c r="F109" s="79">
        <f>'3 Cascade Int'!D33</f>
        <v>16364756</v>
      </c>
      <c r="G109" s="53">
        <f>'3 Cascade Int'!D30</f>
        <v>0</v>
      </c>
      <c r="H109" s="53">
        <v>0</v>
      </c>
      <c r="I109" s="47"/>
      <c r="J109" s="141"/>
      <c r="K109" s="141"/>
      <c r="L109" s="53"/>
      <c r="M109" s="53"/>
      <c r="N109" s="53"/>
      <c r="O109" s="53"/>
      <c r="P109" s="53"/>
      <c r="Q109" s="53"/>
      <c r="R109" s="53"/>
      <c r="S109" s="53"/>
      <c r="T109" s="151"/>
      <c r="U109" s="43"/>
      <c r="V109" s="43"/>
      <c r="W109" s="43"/>
      <c r="X109" s="43"/>
      <c r="Y109" s="43"/>
      <c r="Z109" s="43"/>
    </row>
    <row r="110" spans="1:26" hidden="1" x14ac:dyDescent="0.25">
      <c r="C110" t="s">
        <v>20</v>
      </c>
      <c r="D110" s="16">
        <f>'3 Cascade Int'!D47</f>
        <v>1072179</v>
      </c>
      <c r="E110" s="146">
        <f>'3 Cascade Int'!E47</f>
        <v>1336261</v>
      </c>
      <c r="F110" s="79"/>
      <c r="G110" s="53"/>
      <c r="I110" s="47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151"/>
      <c r="U110" s="43"/>
      <c r="V110" s="43"/>
      <c r="W110" s="43"/>
      <c r="X110" s="43"/>
      <c r="Y110" s="43"/>
      <c r="Z110" s="43"/>
    </row>
    <row r="111" spans="1:26" hidden="1" x14ac:dyDescent="0.25">
      <c r="C111" t="s">
        <v>21</v>
      </c>
      <c r="D111" s="16">
        <f>'3 Cascade Int'!D48</f>
        <v>269638</v>
      </c>
      <c r="E111" s="146">
        <f>'3 Cascade Int'!E48</f>
        <v>269638</v>
      </c>
      <c r="F111" s="79"/>
      <c r="G111" s="53"/>
      <c r="I111" s="47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151"/>
      <c r="U111" s="43"/>
      <c r="V111" s="43"/>
      <c r="W111" s="43"/>
      <c r="X111" s="43"/>
      <c r="Y111" s="43"/>
      <c r="Z111" s="43"/>
    </row>
    <row r="112" spans="1:26" hidden="1" x14ac:dyDescent="0.25">
      <c r="C112" t="s">
        <v>22</v>
      </c>
      <c r="D112" s="16">
        <f>'3 Cascade Int'!D49</f>
        <v>0</v>
      </c>
      <c r="E112" s="146">
        <f>'3 Cascade Int'!E49</f>
        <v>0</v>
      </c>
      <c r="F112" s="79"/>
      <c r="G112" s="53"/>
      <c r="I112" s="47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151"/>
      <c r="U112" s="43"/>
      <c r="V112" s="43"/>
      <c r="W112" s="43"/>
      <c r="X112" s="43"/>
      <c r="Y112" s="43"/>
      <c r="Z112" s="43"/>
    </row>
    <row r="113" spans="1:26" hidden="1" x14ac:dyDescent="0.25">
      <c r="C113" t="s">
        <v>37</v>
      </c>
      <c r="D113" s="16">
        <f>'3 Cascade Int'!D50</f>
        <v>1421912</v>
      </c>
      <c r="E113" s="146">
        <f>'3 Cascade Int'!E50</f>
        <v>1421912</v>
      </c>
      <c r="F113" s="79"/>
      <c r="G113" s="53"/>
      <c r="I113" s="47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151"/>
      <c r="U113" s="43"/>
      <c r="V113" s="43"/>
      <c r="W113" s="43"/>
      <c r="X113" s="43"/>
      <c r="Y113" s="43"/>
      <c r="Z113" s="43"/>
    </row>
    <row r="114" spans="1:26" hidden="1" x14ac:dyDescent="0.25">
      <c r="C114" t="s">
        <v>23</v>
      </c>
      <c r="D114" s="16">
        <f>'3 Cascade Int'!D51</f>
        <v>12179115</v>
      </c>
      <c r="E114" s="146">
        <f>'3 Cascade Int'!E51</f>
        <v>12179115</v>
      </c>
      <c r="F114" s="79"/>
      <c r="G114" s="53"/>
      <c r="I114" s="47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151"/>
      <c r="U114" s="43"/>
      <c r="V114" s="43"/>
      <c r="W114" s="43"/>
      <c r="X114" s="43"/>
      <c r="Y114" s="43"/>
      <c r="Z114" s="43"/>
    </row>
    <row r="115" spans="1:26" hidden="1" x14ac:dyDescent="0.25">
      <c r="C115" t="s">
        <v>39</v>
      </c>
      <c r="D115" s="16">
        <f>'3 Cascade Int'!D52</f>
        <v>1421912</v>
      </c>
      <c r="E115" s="146">
        <f>'3 Cascade Int'!E52</f>
        <v>1421912</v>
      </c>
      <c r="F115" s="79"/>
      <c r="G115" s="53"/>
      <c r="I115" s="47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151"/>
      <c r="U115" s="43"/>
      <c r="V115" s="43"/>
      <c r="W115" s="43"/>
      <c r="X115" s="43"/>
      <c r="Y115" s="43"/>
      <c r="Z115" s="43"/>
    </row>
    <row r="116" spans="1:26" hidden="1" x14ac:dyDescent="0.25">
      <c r="D116" s="16"/>
      <c r="E116" s="146"/>
      <c r="F116" s="79"/>
      <c r="G116" s="53"/>
      <c r="I116" s="47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151"/>
      <c r="U116" s="43"/>
      <c r="V116" s="43"/>
      <c r="W116" s="43"/>
      <c r="X116" s="43"/>
      <c r="Y116" s="43"/>
      <c r="Z116" s="43"/>
    </row>
    <row r="117" spans="1:26" hidden="1" x14ac:dyDescent="0.25">
      <c r="D117" s="16"/>
      <c r="E117" s="146"/>
      <c r="F117" s="79"/>
      <c r="G117" s="53"/>
      <c r="I117" s="15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51"/>
      <c r="U117" s="43"/>
      <c r="V117" s="43"/>
      <c r="W117" s="43"/>
      <c r="X117" s="43"/>
      <c r="Y117" s="43"/>
      <c r="Z117" s="43"/>
    </row>
    <row r="118" spans="1:26" hidden="1" x14ac:dyDescent="0.25">
      <c r="C118" t="s">
        <v>20</v>
      </c>
      <c r="D118" s="16">
        <f>'3 Cascade Int'!D57</f>
        <v>0</v>
      </c>
      <c r="E118" s="146">
        <f>'3 Cascade Int'!E57</f>
        <v>502992</v>
      </c>
      <c r="F118" s="79"/>
      <c r="G118" s="53"/>
      <c r="I118" s="47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151"/>
      <c r="U118" s="43"/>
      <c r="V118" s="43"/>
      <c r="W118" s="43"/>
      <c r="X118" s="43"/>
      <c r="Y118" s="43"/>
      <c r="Z118" s="43"/>
    </row>
    <row r="119" spans="1:26" hidden="1" x14ac:dyDescent="0.25">
      <c r="C119" t="s">
        <v>21</v>
      </c>
      <c r="D119" s="16">
        <f>'3 Cascade Int'!D58</f>
        <v>0</v>
      </c>
      <c r="E119" s="146">
        <f>'3 Cascade Int'!E58</f>
        <v>0</v>
      </c>
      <c r="F119" s="79"/>
      <c r="G119" s="53"/>
      <c r="I119" s="47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151"/>
      <c r="U119" s="43"/>
      <c r="V119" s="43"/>
      <c r="W119" s="43"/>
      <c r="X119" s="43"/>
      <c r="Y119" s="43"/>
      <c r="Z119" s="43"/>
    </row>
    <row r="120" spans="1:26" hidden="1" x14ac:dyDescent="0.25">
      <c r="C120" t="s">
        <v>22</v>
      </c>
      <c r="D120" s="16">
        <f>'3 Cascade Int'!D59</f>
        <v>0</v>
      </c>
      <c r="E120" s="146">
        <f>'3 Cascade Int'!E59</f>
        <v>110304</v>
      </c>
      <c r="F120" s="79"/>
      <c r="G120" s="53"/>
      <c r="I120" s="47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151"/>
      <c r="U120" s="43"/>
      <c r="V120" s="43"/>
      <c r="W120" s="43"/>
      <c r="X120" s="43"/>
      <c r="Y120" s="43"/>
      <c r="Z120" s="43"/>
    </row>
    <row r="121" spans="1:26" hidden="1" x14ac:dyDescent="0.25">
      <c r="C121" t="s">
        <v>37</v>
      </c>
      <c r="D121" s="16">
        <f>'3 Cascade Int'!D60</f>
        <v>0</v>
      </c>
      <c r="E121" s="146">
        <f>'3 Cascade Int'!E60</f>
        <v>0</v>
      </c>
      <c r="F121" s="79"/>
      <c r="G121" s="53"/>
      <c r="I121" s="47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151"/>
      <c r="U121" s="43"/>
      <c r="V121" s="43"/>
      <c r="W121" s="43"/>
      <c r="X121" s="43"/>
      <c r="Y121" s="43"/>
      <c r="Z121" s="43"/>
    </row>
    <row r="122" spans="1:26" hidden="1" x14ac:dyDescent="0.25">
      <c r="C122" t="s">
        <v>23</v>
      </c>
      <c r="D122" s="16">
        <f>'3 Cascade Int'!D61</f>
        <v>0</v>
      </c>
      <c r="E122" s="146">
        <f>'3 Cascade Int'!E61</f>
        <v>0</v>
      </c>
      <c r="F122" s="79"/>
      <c r="G122" s="53"/>
      <c r="I122" s="47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151"/>
      <c r="U122" s="43"/>
      <c r="V122" s="43"/>
      <c r="W122" s="43"/>
      <c r="X122" s="43"/>
      <c r="Y122" s="43"/>
      <c r="Z122" s="43"/>
    </row>
    <row r="123" spans="1:26" hidden="1" x14ac:dyDescent="0.25">
      <c r="C123" t="s">
        <v>39</v>
      </c>
      <c r="D123" s="16">
        <f>'3 Cascade Int'!D62</f>
        <v>0</v>
      </c>
      <c r="E123" s="146">
        <f>'3 Cascade Int'!E62</f>
        <v>0</v>
      </c>
      <c r="F123" s="79"/>
      <c r="G123" s="53"/>
      <c r="I123" s="47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151"/>
      <c r="U123" s="43"/>
      <c r="V123" s="43"/>
      <c r="W123" s="43"/>
      <c r="X123" s="43"/>
      <c r="Y123" s="43"/>
      <c r="Z123" s="43"/>
    </row>
    <row r="124" spans="1:26" hidden="1" x14ac:dyDescent="0.25">
      <c r="D124" s="16"/>
      <c r="E124" s="146"/>
      <c r="F124" s="79"/>
      <c r="G124" s="53"/>
      <c r="I124" s="47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151"/>
      <c r="U124" s="43"/>
      <c r="V124" s="43"/>
      <c r="W124" s="43"/>
      <c r="X124" s="43"/>
      <c r="Y124" s="43"/>
      <c r="Z124" s="43"/>
    </row>
    <row r="125" spans="1:26" hidden="1" x14ac:dyDescent="0.25">
      <c r="D125" s="16"/>
      <c r="E125" s="146"/>
      <c r="F125" s="79"/>
      <c r="G125" s="53"/>
      <c r="I125" s="15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51"/>
      <c r="U125" s="43"/>
      <c r="V125" s="43"/>
      <c r="W125" s="43"/>
      <c r="X125" s="43"/>
      <c r="Y125" s="43"/>
      <c r="Z125" s="43"/>
    </row>
    <row r="126" spans="1:26" x14ac:dyDescent="0.25">
      <c r="A126" s="2" t="s">
        <v>291</v>
      </c>
      <c r="B126" s="2"/>
      <c r="C126" s="2"/>
      <c r="D126" s="40">
        <f>'4 Sunset Highway'!D43</f>
        <v>55857089</v>
      </c>
      <c r="E126" s="121">
        <f>'4 Sunset Highway'!E43</f>
        <v>66122010</v>
      </c>
      <c r="F126" s="140">
        <v>0</v>
      </c>
      <c r="G126" s="138">
        <f>D126-F126-H126</f>
        <v>55857089</v>
      </c>
      <c r="H126" s="138">
        <v>0</v>
      </c>
      <c r="I126" s="154">
        <f>SUM(F126:H126)</f>
        <v>55857089</v>
      </c>
      <c r="J126" s="138"/>
      <c r="K126" s="138"/>
      <c r="L126" s="138"/>
      <c r="M126" s="138">
        <f>+G126</f>
        <v>55857089</v>
      </c>
      <c r="N126" s="138"/>
      <c r="O126" s="138"/>
      <c r="P126" s="138"/>
      <c r="Q126" s="138"/>
      <c r="R126" s="138"/>
      <c r="S126" s="138"/>
      <c r="T126" s="153"/>
      <c r="U126" s="43"/>
      <c r="V126" s="43"/>
      <c r="W126" s="43"/>
      <c r="X126" s="43"/>
      <c r="Y126" s="43"/>
      <c r="Z126" s="43"/>
    </row>
    <row r="127" spans="1:26" hidden="1" x14ac:dyDescent="0.25">
      <c r="C127" t="s">
        <v>20</v>
      </c>
      <c r="D127" s="16">
        <f>'4 Sunset Highway'!D45</f>
        <v>6357087</v>
      </c>
      <c r="E127" s="16"/>
      <c r="F127" s="78"/>
      <c r="G127" s="53"/>
      <c r="I127" s="47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151"/>
      <c r="U127" s="43"/>
      <c r="V127" s="43"/>
      <c r="W127" s="43"/>
      <c r="X127" s="43"/>
      <c r="Y127" s="43"/>
      <c r="Z127" s="43"/>
    </row>
    <row r="128" spans="1:26" hidden="1" x14ac:dyDescent="0.25">
      <c r="C128" t="s">
        <v>21</v>
      </c>
      <c r="D128" s="16">
        <f>'4 Sunset Highway'!D46</f>
        <v>0</v>
      </c>
      <c r="E128" s="16"/>
      <c r="F128" s="78"/>
      <c r="G128" s="53"/>
      <c r="I128" s="47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151"/>
      <c r="U128" s="43"/>
      <c r="V128" s="43"/>
      <c r="W128" s="43"/>
      <c r="X128" s="43"/>
      <c r="Y128" s="43"/>
      <c r="Z128" s="43"/>
    </row>
    <row r="129" spans="1:26" hidden="1" x14ac:dyDescent="0.25">
      <c r="C129" t="s">
        <v>22</v>
      </c>
      <c r="D129" s="16">
        <f>'4 Sunset Highway'!D47</f>
        <v>18500002</v>
      </c>
      <c r="E129" s="16"/>
      <c r="F129" s="78"/>
      <c r="G129" s="53"/>
      <c r="I129" s="47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151"/>
      <c r="U129" s="43"/>
      <c r="V129" s="43"/>
      <c r="W129" s="43"/>
      <c r="X129" s="43"/>
      <c r="Y129" s="43"/>
      <c r="Z129" s="43"/>
    </row>
    <row r="130" spans="1:26" hidden="1" x14ac:dyDescent="0.25">
      <c r="C130" t="s">
        <v>37</v>
      </c>
      <c r="D130" s="16">
        <f>'4 Sunset Highway'!D48</f>
        <v>4650000</v>
      </c>
      <c r="E130" s="16"/>
      <c r="F130" s="78"/>
      <c r="G130" s="53"/>
      <c r="I130" s="47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151"/>
      <c r="U130" s="43"/>
      <c r="V130" s="43"/>
      <c r="W130" s="43"/>
      <c r="X130" s="43"/>
      <c r="Y130" s="43"/>
      <c r="Z130" s="43"/>
    </row>
    <row r="131" spans="1:26" hidden="1" x14ac:dyDescent="0.25">
      <c r="C131" t="s">
        <v>23</v>
      </c>
      <c r="D131" s="16">
        <f>'4 Sunset Highway'!D49</f>
        <v>23250000</v>
      </c>
      <c r="E131" s="16"/>
      <c r="F131" s="78"/>
      <c r="G131" s="53"/>
      <c r="I131" s="47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151"/>
      <c r="U131" s="43"/>
      <c r="V131" s="43"/>
      <c r="W131" s="43"/>
      <c r="X131" s="43"/>
      <c r="Y131" s="43"/>
      <c r="Z131" s="43"/>
    </row>
    <row r="132" spans="1:26" hidden="1" x14ac:dyDescent="0.25">
      <c r="C132" t="s">
        <v>39</v>
      </c>
      <c r="D132" s="16">
        <f>'4 Sunset Highway'!D50</f>
        <v>3100000</v>
      </c>
      <c r="E132" s="16"/>
      <c r="F132" s="78"/>
      <c r="G132" s="53"/>
      <c r="I132" s="47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151"/>
      <c r="U132" s="43"/>
      <c r="V132" s="43"/>
      <c r="W132" s="43"/>
      <c r="X132" s="43"/>
      <c r="Y132" s="43"/>
      <c r="Z132" s="43"/>
    </row>
    <row r="133" spans="1:26" hidden="1" x14ac:dyDescent="0.25">
      <c r="D133" s="17"/>
      <c r="E133" s="17"/>
      <c r="F133" s="78"/>
      <c r="G133" s="137"/>
      <c r="I133" s="152"/>
      <c r="J133" s="181"/>
      <c r="K133" s="137"/>
      <c r="L133" s="137"/>
      <c r="M133" s="137"/>
      <c r="N133" s="137"/>
      <c r="O133" s="137"/>
      <c r="P133" s="137"/>
      <c r="Q133" s="137"/>
      <c r="R133" s="137"/>
      <c r="S133" s="137"/>
      <c r="T133" s="151"/>
      <c r="U133" s="43"/>
      <c r="V133" s="43"/>
      <c r="W133" s="43"/>
      <c r="X133" s="43"/>
      <c r="Y133" s="43"/>
      <c r="Z133" s="43"/>
    </row>
    <row r="134" spans="1:26" ht="15.75" thickBot="1" x14ac:dyDescent="0.3">
      <c r="A134" s="89" t="s">
        <v>31</v>
      </c>
      <c r="B134" s="89"/>
      <c r="C134" s="89"/>
      <c r="D134" s="84">
        <f>D126+D107+D80+D50</f>
        <v>262836098</v>
      </c>
      <c r="E134" s="142">
        <f>E126+E107+E80+E50</f>
        <v>286265072.85000002</v>
      </c>
      <c r="F134" s="84">
        <f>F126+F107+F80+F50</f>
        <v>140414116</v>
      </c>
      <c r="G134" s="84">
        <f>G126+G107+G80+G50</f>
        <v>90497782</v>
      </c>
      <c r="H134" s="84">
        <f>H126+H107+H80+H50</f>
        <v>31924200</v>
      </c>
      <c r="I134" s="78">
        <f>SUM(F134:H134)</f>
        <v>262836098</v>
      </c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151"/>
      <c r="U134" s="43"/>
      <c r="V134" s="43"/>
      <c r="W134" s="43"/>
      <c r="X134" s="43"/>
      <c r="Y134" s="43"/>
      <c r="Z134" s="43"/>
    </row>
    <row r="135" spans="1:26" ht="15.75" hidden="1" thickTop="1" x14ac:dyDescent="0.25">
      <c r="A135" t="s">
        <v>32</v>
      </c>
      <c r="D135" s="17"/>
      <c r="E135" s="17"/>
      <c r="F135" s="78"/>
      <c r="G135" s="79"/>
      <c r="H135" s="79"/>
      <c r="I135" s="78"/>
      <c r="J135" s="79"/>
      <c r="K135" s="79"/>
      <c r="L135" s="79"/>
      <c r="M135" s="79">
        <f>SUM(M50:M134)</f>
        <v>78997782</v>
      </c>
      <c r="N135" s="79"/>
      <c r="O135" s="79"/>
      <c r="P135" s="79"/>
      <c r="Q135" s="79"/>
      <c r="R135" s="79"/>
      <c r="S135" s="79"/>
      <c r="T135" s="151"/>
      <c r="U135" s="43"/>
      <c r="V135" s="43"/>
      <c r="W135" s="43"/>
      <c r="X135" s="43"/>
      <c r="Y135" s="43"/>
      <c r="Z135" s="43"/>
    </row>
    <row r="136" spans="1:26" hidden="1" x14ac:dyDescent="0.25">
      <c r="C136" t="s">
        <v>209</v>
      </c>
      <c r="D136" s="17"/>
      <c r="E136" s="17"/>
      <c r="F136" s="32">
        <f>+F134-D40</f>
        <v>0</v>
      </c>
      <c r="G136" s="32"/>
      <c r="I136" s="26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ht="15.75" thickTop="1" x14ac:dyDescent="0.25">
      <c r="D137" s="17"/>
      <c r="E137" s="17"/>
      <c r="F137" s="169">
        <f>+F134/I134</f>
        <v>0.53422690820801944</v>
      </c>
      <c r="G137" s="169">
        <f>G134/D134</f>
        <v>0.34431260655832746</v>
      </c>
      <c r="H137" s="169">
        <f>H134/D134</f>
        <v>0.1214604852336531</v>
      </c>
    </row>
    <row r="138" spans="1:26" x14ac:dyDescent="0.25">
      <c r="D138" s="18"/>
      <c r="E138" s="18"/>
      <c r="F138" s="32"/>
      <c r="G138" s="32"/>
      <c r="H138" s="37"/>
    </row>
    <row r="139" spans="1:26" ht="15.75" x14ac:dyDescent="0.25">
      <c r="H139" s="216">
        <f>+G134+H134</f>
        <v>122421982</v>
      </c>
      <c r="I139" s="125">
        <f>+H139/I134</f>
        <v>0.46577309179198056</v>
      </c>
      <c r="K139" s="155" t="s">
        <v>119</v>
      </c>
      <c r="L139" s="155" t="s">
        <v>123</v>
      </c>
      <c r="M139" s="155" t="s">
        <v>125</v>
      </c>
      <c r="N139" s="155" t="s">
        <v>122</v>
      </c>
      <c r="O139" s="2"/>
    </row>
    <row r="140" spans="1:26" ht="15.75" x14ac:dyDescent="0.25">
      <c r="D140" s="13"/>
      <c r="E140" s="13"/>
      <c r="K140" s="156" t="s">
        <v>124</v>
      </c>
      <c r="L140" s="157" t="s">
        <v>120</v>
      </c>
      <c r="M140" s="158">
        <f>D31+D32</f>
        <v>76997782</v>
      </c>
      <c r="N140" s="156" t="s">
        <v>128</v>
      </c>
    </row>
    <row r="141" spans="1:26" ht="15.75" x14ac:dyDescent="0.25">
      <c r="D141" s="13"/>
      <c r="E141" s="13"/>
      <c r="F141" s="38"/>
      <c r="G141" s="217">
        <f>+M149</f>
        <v>90497782</v>
      </c>
      <c r="H141" s="217">
        <f>+M146</f>
        <v>31924200</v>
      </c>
      <c r="K141" s="156" t="s">
        <v>126</v>
      </c>
      <c r="L141" s="157" t="s">
        <v>120</v>
      </c>
      <c r="M141" s="158">
        <f>D35</f>
        <v>0</v>
      </c>
      <c r="N141" s="156" t="s">
        <v>127</v>
      </c>
    </row>
    <row r="142" spans="1:26" ht="15.75" x14ac:dyDescent="0.25">
      <c r="C142" t="s">
        <v>212</v>
      </c>
      <c r="D142" s="34"/>
      <c r="E142" s="34"/>
      <c r="F142" s="62">
        <f>+F136</f>
        <v>0</v>
      </c>
      <c r="G142" s="62">
        <f>+G141-G134</f>
        <v>0</v>
      </c>
      <c r="H142" s="62">
        <f>+H141-H134</f>
        <v>0</v>
      </c>
      <c r="I142" s="62">
        <f>SUM(F142:H142)</f>
        <v>0</v>
      </c>
      <c r="K142" s="156" t="s">
        <v>12</v>
      </c>
      <c r="L142" s="157" t="s">
        <v>120</v>
      </c>
      <c r="M142" s="159">
        <f>D23</f>
        <v>1000000</v>
      </c>
      <c r="N142" s="156" t="s">
        <v>134</v>
      </c>
    </row>
    <row r="143" spans="1:26" ht="15.75" x14ac:dyDescent="0.25">
      <c r="D143" s="34"/>
      <c r="E143" s="34"/>
      <c r="K143" s="238" t="s">
        <v>6</v>
      </c>
      <c r="L143" s="239" t="s">
        <v>120</v>
      </c>
      <c r="M143" s="240">
        <f>D19</f>
        <v>11000000</v>
      </c>
      <c r="N143" s="156" t="s">
        <v>129</v>
      </c>
    </row>
    <row r="144" spans="1:26" ht="15.75" x14ac:dyDescent="0.25">
      <c r="D144" s="34"/>
      <c r="E144" s="34"/>
      <c r="G144" s="62">
        <f>+G61+G82</f>
        <v>13500000</v>
      </c>
      <c r="J144" s="62">
        <f>SUM(M142:M144)</f>
        <v>13500000</v>
      </c>
      <c r="K144" s="238" t="s">
        <v>6</v>
      </c>
      <c r="L144" s="239" t="s">
        <v>120</v>
      </c>
      <c r="M144" s="240">
        <f>+D24</f>
        <v>1500000</v>
      </c>
      <c r="N144" s="156" t="s">
        <v>217</v>
      </c>
    </row>
    <row r="145" spans="1:14" ht="15.75" x14ac:dyDescent="0.25">
      <c r="D145" s="34"/>
      <c r="E145" s="34"/>
      <c r="K145" s="156" t="s">
        <v>131</v>
      </c>
      <c r="L145" s="157" t="s">
        <v>120</v>
      </c>
      <c r="M145" s="158">
        <f>D39</f>
        <v>0</v>
      </c>
      <c r="N145" s="156" t="s">
        <v>132</v>
      </c>
    </row>
    <row r="146" spans="1:14" ht="15.75" x14ac:dyDescent="0.25">
      <c r="D146" s="34"/>
      <c r="E146" s="34"/>
      <c r="G146" s="62">
        <f>+G126+G70+G52</f>
        <v>76997782</v>
      </c>
      <c r="K146" s="160" t="s">
        <v>130</v>
      </c>
      <c r="L146" s="161" t="s">
        <v>121</v>
      </c>
      <c r="M146" s="233">
        <f>D30</f>
        <v>31924200</v>
      </c>
      <c r="N146" s="160" t="s">
        <v>219</v>
      </c>
    </row>
    <row r="147" spans="1:14" ht="15.75" x14ac:dyDescent="0.25">
      <c r="D147" s="35"/>
      <c r="E147" s="35"/>
      <c r="G147" s="62">
        <f>SUM(G144:G146)</f>
        <v>90497782</v>
      </c>
      <c r="K147" s="163" t="s">
        <v>49</v>
      </c>
      <c r="L147" s="157"/>
      <c r="M147" s="164">
        <f>SUM(M140:M146)</f>
        <v>122421982</v>
      </c>
      <c r="N147" s="156"/>
    </row>
    <row r="148" spans="1:14" x14ac:dyDescent="0.25">
      <c r="D148" s="35"/>
      <c r="E148" s="35"/>
      <c r="G148" s="62">
        <f>+H134</f>
        <v>31924200</v>
      </c>
      <c r="K148" s="2"/>
    </row>
    <row r="149" spans="1:14" x14ac:dyDescent="0.25">
      <c r="D149" s="36"/>
      <c r="E149" s="36"/>
      <c r="G149" s="62">
        <f>SUM(G147:G148)</f>
        <v>122421982</v>
      </c>
      <c r="M149" s="62">
        <f>+M147-M146</f>
        <v>90497782</v>
      </c>
    </row>
    <row r="150" spans="1:14" x14ac:dyDescent="0.25">
      <c r="D150" s="37"/>
      <c r="E150" s="37"/>
    </row>
    <row r="151" spans="1:14" x14ac:dyDescent="0.25">
      <c r="D151" s="14"/>
      <c r="E151" s="14"/>
      <c r="K151" t="s">
        <v>4</v>
      </c>
      <c r="M151" s="62">
        <f>+M140+M146</f>
        <v>108921982</v>
      </c>
    </row>
    <row r="152" spans="1:14" ht="24" thickBot="1" x14ac:dyDescent="0.3">
      <c r="A152" s="332" t="s">
        <v>318</v>
      </c>
      <c r="C152" s="43"/>
      <c r="M152" s="62"/>
    </row>
    <row r="153" spans="1:14" ht="52.5" customHeight="1" thickTop="1" thickBot="1" x14ac:dyDescent="0.3">
      <c r="A153" s="333"/>
      <c r="B153" s="381" t="s">
        <v>319</v>
      </c>
      <c r="C153" s="381"/>
      <c r="D153" s="334" t="s">
        <v>81</v>
      </c>
      <c r="E153" s="334" t="s">
        <v>79</v>
      </c>
      <c r="F153" s="334" t="s">
        <v>116</v>
      </c>
      <c r="G153" s="334" t="s">
        <v>144</v>
      </c>
      <c r="H153" s="334" t="s">
        <v>145</v>
      </c>
      <c r="M153" s="62"/>
    </row>
    <row r="154" spans="1:14" ht="36" customHeight="1" thickTop="1" thickBot="1" x14ac:dyDescent="0.3">
      <c r="A154" s="382" t="s">
        <v>320</v>
      </c>
      <c r="B154" s="382"/>
      <c r="C154" s="382"/>
      <c r="D154" s="342">
        <f>SUM(D155:D157)</f>
        <v>52664893</v>
      </c>
      <c r="E154" s="351">
        <f t="shared" ref="E154:H154" si="3">SUM(E155:E157)</f>
        <v>61743498</v>
      </c>
      <c r="F154" s="351">
        <f t="shared" si="3"/>
        <v>21000000</v>
      </c>
      <c r="G154" s="351">
        <f t="shared" si="3"/>
        <v>23140693</v>
      </c>
      <c r="H154" s="342">
        <f t="shared" si="3"/>
        <v>8524200</v>
      </c>
      <c r="M154" s="62"/>
    </row>
    <row r="155" spans="1:14" ht="20.25" customHeight="1" x14ac:dyDescent="0.25">
      <c r="A155" s="336"/>
      <c r="B155" s="375" t="s">
        <v>321</v>
      </c>
      <c r="C155" s="375"/>
      <c r="D155" s="350">
        <v>16793597</v>
      </c>
      <c r="E155" s="337">
        <v>18236277</v>
      </c>
      <c r="F155" s="337">
        <v>0</v>
      </c>
      <c r="G155" s="337">
        <v>16793597</v>
      </c>
      <c r="H155" s="350">
        <v>0</v>
      </c>
      <c r="M155" s="62"/>
    </row>
    <row r="156" spans="1:14" ht="24" customHeight="1" x14ac:dyDescent="0.25">
      <c r="A156" s="336"/>
      <c r="B156" s="375" t="s">
        <v>322</v>
      </c>
      <c r="C156" s="375"/>
      <c r="D156" s="337">
        <v>31524200</v>
      </c>
      <c r="E156" s="337">
        <v>38507220</v>
      </c>
      <c r="F156" s="337">
        <v>21000000</v>
      </c>
      <c r="G156" s="337">
        <v>2000000</v>
      </c>
      <c r="H156" s="337">
        <v>8524200</v>
      </c>
      <c r="M156" s="62"/>
    </row>
    <row r="157" spans="1:14" ht="18.75" customHeight="1" thickBot="1" x14ac:dyDescent="0.3">
      <c r="A157" s="336"/>
      <c r="B157" s="375" t="s">
        <v>323</v>
      </c>
      <c r="C157" s="375"/>
      <c r="D157" s="337">
        <v>4347096</v>
      </c>
      <c r="E157" s="348">
        <v>5000001</v>
      </c>
      <c r="F157" s="348">
        <v>0</v>
      </c>
      <c r="G157" s="337">
        <v>4347096</v>
      </c>
      <c r="H157" s="337">
        <v>0</v>
      </c>
      <c r="M157" s="62"/>
    </row>
    <row r="158" spans="1:14" ht="30.75" customHeight="1" thickBot="1" x14ac:dyDescent="0.3">
      <c r="A158" s="379" t="s">
        <v>27</v>
      </c>
      <c r="B158" s="379"/>
      <c r="C158" s="379"/>
      <c r="D158" s="346">
        <f>SUM(D159:D161)</f>
        <v>137549360</v>
      </c>
      <c r="E158" s="346">
        <f>SUM(E159:E161)</f>
        <v>141157431</v>
      </c>
      <c r="F158" s="346">
        <f>SUM(F159:F161)</f>
        <v>103049360</v>
      </c>
      <c r="G158" s="349">
        <f t="shared" ref="G158:H158" si="4">SUM(G159:G161)</f>
        <v>11500000</v>
      </c>
      <c r="H158" s="349">
        <f t="shared" si="4"/>
        <v>23400000</v>
      </c>
      <c r="M158" s="62"/>
    </row>
    <row r="159" spans="1:14" ht="33.75" customHeight="1" x14ac:dyDescent="0.25">
      <c r="A159" s="336"/>
      <c r="B159" s="375" t="s">
        <v>324</v>
      </c>
      <c r="C159" s="375"/>
      <c r="D159" s="352">
        <f>+J83</f>
        <v>60687756</v>
      </c>
      <c r="E159" s="352">
        <f>+K83</f>
        <v>61837756</v>
      </c>
      <c r="F159" s="337">
        <v>61087756</v>
      </c>
      <c r="G159" s="350">
        <v>500000</v>
      </c>
      <c r="H159" s="350">
        <v>0</v>
      </c>
      <c r="M159" s="62"/>
    </row>
    <row r="160" spans="1:14" ht="20.25" customHeight="1" x14ac:dyDescent="0.25">
      <c r="A160" s="336"/>
      <c r="B160" s="375" t="s">
        <v>325</v>
      </c>
      <c r="C160" s="375"/>
      <c r="D160" s="352">
        <f>+J91</f>
        <v>66861604</v>
      </c>
      <c r="E160" s="352">
        <f>+K91</f>
        <v>69269675</v>
      </c>
      <c r="F160" s="337">
        <v>31961604</v>
      </c>
      <c r="G160" s="337">
        <v>11000000</v>
      </c>
      <c r="H160" s="337">
        <v>23400000</v>
      </c>
      <c r="M160" s="62"/>
    </row>
    <row r="161" spans="1:13" ht="30.75" customHeight="1" thickBot="1" x14ac:dyDescent="0.3">
      <c r="A161" s="347"/>
      <c r="B161" s="377" t="s">
        <v>326</v>
      </c>
      <c r="C161" s="377"/>
      <c r="D161" s="348">
        <v>10000000</v>
      </c>
      <c r="E161" s="337">
        <v>10050000</v>
      </c>
      <c r="F161" s="337">
        <v>10000000</v>
      </c>
      <c r="G161" s="348">
        <v>0</v>
      </c>
      <c r="H161" s="337">
        <v>0</v>
      </c>
      <c r="M161" s="62"/>
    </row>
    <row r="162" spans="1:13" ht="31.5" customHeight="1" thickBot="1" x14ac:dyDescent="0.3">
      <c r="A162" s="378" t="s">
        <v>55</v>
      </c>
      <c r="B162" s="378"/>
      <c r="C162" s="378"/>
      <c r="D162" s="343">
        <v>16364756</v>
      </c>
      <c r="E162" s="346">
        <v>17242134</v>
      </c>
      <c r="F162" s="346">
        <v>16364756</v>
      </c>
      <c r="G162" s="345">
        <v>0</v>
      </c>
      <c r="H162" s="346">
        <v>0</v>
      </c>
      <c r="M162" s="62"/>
    </row>
    <row r="163" spans="1:13" ht="27.75" customHeight="1" thickBot="1" x14ac:dyDescent="0.3">
      <c r="A163" s="379" t="s">
        <v>327</v>
      </c>
      <c r="B163" s="379"/>
      <c r="C163" s="379"/>
      <c r="D163" s="343">
        <v>55857089</v>
      </c>
      <c r="E163" s="346">
        <v>66122010</v>
      </c>
      <c r="F163" s="346">
        <v>0</v>
      </c>
      <c r="G163" s="346">
        <v>55857089</v>
      </c>
      <c r="H163" s="343">
        <v>0</v>
      </c>
      <c r="M163" s="62"/>
    </row>
    <row r="164" spans="1:13" ht="38.25" customHeight="1" x14ac:dyDescent="0.25">
      <c r="A164" s="380" t="s">
        <v>31</v>
      </c>
      <c r="B164" s="380"/>
      <c r="C164" s="380"/>
      <c r="D164" s="335">
        <f>+D154+D158+D162+D163</f>
        <v>262436098</v>
      </c>
      <c r="E164" s="335">
        <v>286265073</v>
      </c>
      <c r="F164" s="335">
        <f>SUM(F154:F163)</f>
        <v>264463476</v>
      </c>
      <c r="G164" s="335">
        <v>90497782</v>
      </c>
      <c r="H164" s="335">
        <v>31924200</v>
      </c>
      <c r="M164" s="62"/>
    </row>
    <row r="165" spans="1:13" ht="15.75" thickBot="1" x14ac:dyDescent="0.3">
      <c r="A165" s="339"/>
      <c r="B165" s="339"/>
      <c r="C165" s="339"/>
      <c r="D165" s="340"/>
      <c r="E165" s="340"/>
      <c r="F165" s="341">
        <v>0.53400000000000003</v>
      </c>
      <c r="G165" s="341">
        <v>0.34399999999999997</v>
      </c>
      <c r="H165" s="341">
        <v>0.121</v>
      </c>
      <c r="M165" s="62"/>
    </row>
    <row r="166" spans="1:13" ht="15.75" thickTop="1" x14ac:dyDescent="0.25">
      <c r="A166" s="331"/>
      <c r="M166" s="62"/>
    </row>
    <row r="167" spans="1:13" ht="24" thickBot="1" x14ac:dyDescent="0.3">
      <c r="A167" s="332" t="s">
        <v>328</v>
      </c>
      <c r="B167" s="344"/>
      <c r="C167" s="344"/>
      <c r="M167" s="62"/>
    </row>
    <row r="168" spans="1:13" ht="52.5" customHeight="1" thickTop="1" thickBot="1" x14ac:dyDescent="0.3">
      <c r="A168" s="333"/>
      <c r="B168" s="371" t="s">
        <v>319</v>
      </c>
      <c r="C168" s="371"/>
      <c r="D168" s="334" t="s">
        <v>81</v>
      </c>
      <c r="E168" s="334" t="s">
        <v>79</v>
      </c>
      <c r="F168" s="334" t="s">
        <v>116</v>
      </c>
      <c r="G168" s="334" t="s">
        <v>144</v>
      </c>
      <c r="H168" s="334" t="s">
        <v>145</v>
      </c>
      <c r="M168" s="62"/>
    </row>
    <row r="169" spans="1:13" ht="63.75" customHeight="1" thickTop="1" x14ac:dyDescent="0.25">
      <c r="A169" s="372" t="s">
        <v>320</v>
      </c>
      <c r="B169" s="372"/>
      <c r="C169" s="372"/>
      <c r="D169" s="335">
        <v>52664893</v>
      </c>
      <c r="E169" s="335">
        <v>61743498</v>
      </c>
      <c r="F169" s="335">
        <v>29524360</v>
      </c>
      <c r="G169" s="335">
        <v>23140693</v>
      </c>
      <c r="H169" s="335">
        <v>0</v>
      </c>
      <c r="M169" s="62"/>
    </row>
    <row r="170" spans="1:13" ht="15" customHeight="1" x14ac:dyDescent="0.25">
      <c r="A170" s="373" t="s">
        <v>321</v>
      </c>
      <c r="B170" s="373"/>
      <c r="C170" s="373"/>
      <c r="D170" s="337">
        <v>16793597</v>
      </c>
      <c r="E170" s="337">
        <v>18236277</v>
      </c>
      <c r="F170" s="337">
        <v>0</v>
      </c>
      <c r="G170" s="337">
        <v>16793597</v>
      </c>
      <c r="H170" s="337">
        <v>0</v>
      </c>
      <c r="M170" s="62"/>
    </row>
    <row r="171" spans="1:13" ht="15" customHeight="1" x14ac:dyDescent="0.25">
      <c r="A171" s="373" t="s">
        <v>322</v>
      </c>
      <c r="B171" s="373"/>
      <c r="C171" s="373"/>
      <c r="D171" s="337">
        <v>31524200</v>
      </c>
      <c r="E171" s="337">
        <v>38507220</v>
      </c>
      <c r="F171" s="337">
        <v>29524200</v>
      </c>
      <c r="G171" s="337">
        <v>2000000</v>
      </c>
      <c r="H171" s="337">
        <v>0</v>
      </c>
      <c r="M171" s="62"/>
    </row>
    <row r="172" spans="1:13" ht="15" customHeight="1" x14ac:dyDescent="0.25">
      <c r="A172" s="373" t="s">
        <v>323</v>
      </c>
      <c r="B172" s="373"/>
      <c r="C172" s="373"/>
      <c r="D172" s="337">
        <v>4347096</v>
      </c>
      <c r="E172" s="337">
        <v>5000001</v>
      </c>
      <c r="F172" s="337">
        <v>0</v>
      </c>
      <c r="G172" s="337">
        <v>4347096</v>
      </c>
      <c r="H172" s="337">
        <v>0</v>
      </c>
      <c r="M172" s="62"/>
    </row>
    <row r="173" spans="1:13" ht="51" customHeight="1" x14ac:dyDescent="0.25">
      <c r="A173" s="374" t="s">
        <v>27</v>
      </c>
      <c r="B173" s="374"/>
      <c r="C173" s="374"/>
      <c r="D173" s="335">
        <v>137949360</v>
      </c>
      <c r="E173" s="335">
        <v>141157431</v>
      </c>
      <c r="F173" s="335">
        <v>94525160</v>
      </c>
      <c r="G173" s="335">
        <v>11500000</v>
      </c>
      <c r="H173" s="335">
        <v>31924200</v>
      </c>
      <c r="M173" s="62"/>
    </row>
    <row r="174" spans="1:13" x14ac:dyDescent="0.25">
      <c r="A174" s="375" t="s">
        <v>324</v>
      </c>
      <c r="B174" s="375"/>
      <c r="C174" s="375"/>
      <c r="D174" s="337">
        <v>61087756</v>
      </c>
      <c r="E174" s="337">
        <v>67402673</v>
      </c>
      <c r="F174" s="337">
        <v>60587756</v>
      </c>
      <c r="G174" s="337">
        <v>500000</v>
      </c>
      <c r="H174" s="337">
        <v>0</v>
      </c>
      <c r="M174" s="62"/>
    </row>
    <row r="175" spans="1:13" x14ac:dyDescent="0.25">
      <c r="A175" s="373" t="s">
        <v>325</v>
      </c>
      <c r="B175" s="373"/>
      <c r="C175" s="373"/>
      <c r="D175" s="337">
        <v>66861604</v>
      </c>
      <c r="E175" s="337">
        <v>73754758</v>
      </c>
      <c r="F175" s="337">
        <v>23937404</v>
      </c>
      <c r="G175" s="337">
        <v>11000000</v>
      </c>
      <c r="H175" s="337">
        <v>31924200</v>
      </c>
      <c r="M175" s="62"/>
    </row>
    <row r="176" spans="1:13" x14ac:dyDescent="0.25">
      <c r="A176" s="373" t="s">
        <v>326</v>
      </c>
      <c r="B176" s="373"/>
      <c r="C176" s="373"/>
      <c r="D176" s="337">
        <v>10000000</v>
      </c>
      <c r="E176" s="337">
        <v>10050000</v>
      </c>
      <c r="F176" s="337">
        <v>10000000</v>
      </c>
      <c r="G176" s="337">
        <v>0</v>
      </c>
      <c r="H176" s="337">
        <v>0</v>
      </c>
      <c r="M176" s="62"/>
    </row>
    <row r="177" spans="1:13" ht="51" customHeight="1" x14ac:dyDescent="0.25">
      <c r="A177" s="374" t="s">
        <v>55</v>
      </c>
      <c r="B177" s="374"/>
      <c r="C177" s="374"/>
      <c r="D177" s="335">
        <v>16364756</v>
      </c>
      <c r="E177" s="335">
        <v>17242134</v>
      </c>
      <c r="F177" s="335">
        <v>16364756</v>
      </c>
      <c r="G177" s="335">
        <v>0</v>
      </c>
      <c r="H177" s="335">
        <v>0</v>
      </c>
      <c r="M177" s="62"/>
    </row>
    <row r="178" spans="1:13" ht="38.25" customHeight="1" thickBot="1" x14ac:dyDescent="0.3">
      <c r="A178" s="372" t="s">
        <v>327</v>
      </c>
      <c r="B178" s="372"/>
      <c r="C178" s="372"/>
      <c r="D178" s="338">
        <v>55857089</v>
      </c>
      <c r="E178" s="338">
        <v>66122010</v>
      </c>
      <c r="F178" s="338">
        <v>0</v>
      </c>
      <c r="G178" s="338">
        <v>55857089</v>
      </c>
      <c r="H178" s="338">
        <v>0</v>
      </c>
      <c r="M178" s="62"/>
    </row>
    <row r="179" spans="1:13" ht="38.25" customHeight="1" x14ac:dyDescent="0.25">
      <c r="A179" s="376" t="s">
        <v>31</v>
      </c>
      <c r="B179" s="376"/>
      <c r="C179" s="376"/>
      <c r="D179" s="335">
        <v>262836098</v>
      </c>
      <c r="E179" s="335">
        <v>286265073</v>
      </c>
      <c r="F179" s="335">
        <v>140414116</v>
      </c>
      <c r="G179" s="335">
        <v>90497782</v>
      </c>
      <c r="H179" s="335">
        <v>31924200</v>
      </c>
      <c r="M179" s="62"/>
    </row>
    <row r="180" spans="1:13" ht="15.75" thickBot="1" x14ac:dyDescent="0.3">
      <c r="A180" s="339"/>
      <c r="B180" s="339"/>
      <c r="C180" s="339"/>
      <c r="D180" s="340"/>
      <c r="E180" s="340"/>
      <c r="F180" s="341">
        <v>0.53400000000000003</v>
      </c>
      <c r="G180" s="341">
        <v>0.34399999999999997</v>
      </c>
      <c r="H180" s="341">
        <v>0.121</v>
      </c>
      <c r="M180" s="62"/>
    </row>
    <row r="181" spans="1:13" ht="15.75" thickTop="1" x14ac:dyDescent="0.25">
      <c r="A181" s="331"/>
      <c r="M181" s="62"/>
    </row>
    <row r="182" spans="1:13" x14ac:dyDescent="0.25">
      <c r="D182" s="14"/>
      <c r="E182" s="14"/>
      <c r="M182" s="62"/>
    </row>
    <row r="183" spans="1:13" x14ac:dyDescent="0.25">
      <c r="D183" s="14"/>
      <c r="E183" s="14"/>
      <c r="M183" s="62"/>
    </row>
    <row r="184" spans="1:13" x14ac:dyDescent="0.25">
      <c r="D184" s="14"/>
      <c r="E184" s="14"/>
      <c r="M184" s="62"/>
    </row>
    <row r="185" spans="1:13" x14ac:dyDescent="0.25">
      <c r="D185" s="14"/>
      <c r="E185" s="14"/>
      <c r="M185" s="62"/>
    </row>
    <row r="186" spans="1:13" x14ac:dyDescent="0.25">
      <c r="D186" s="14"/>
      <c r="E186" s="14"/>
      <c r="M186" s="62"/>
    </row>
    <row r="187" spans="1:13" x14ac:dyDescent="0.25">
      <c r="D187" s="14"/>
      <c r="E187" s="14"/>
      <c r="M187" s="62"/>
    </row>
    <row r="188" spans="1:13" x14ac:dyDescent="0.25">
      <c r="D188" s="14"/>
      <c r="E188" s="14"/>
      <c r="M188" s="62"/>
    </row>
    <row r="189" spans="1:13" x14ac:dyDescent="0.25">
      <c r="D189" s="14"/>
      <c r="E189" s="14"/>
      <c r="M189" s="62"/>
    </row>
    <row r="190" spans="1:13" x14ac:dyDescent="0.25">
      <c r="D190" s="14"/>
      <c r="E190" s="14"/>
      <c r="M190" s="62"/>
    </row>
    <row r="191" spans="1:13" x14ac:dyDescent="0.25">
      <c r="D191" s="14"/>
      <c r="E191" s="14"/>
      <c r="M191" s="62"/>
    </row>
    <row r="192" spans="1:13" x14ac:dyDescent="0.25">
      <c r="D192" s="14"/>
      <c r="E192" s="14"/>
    </row>
    <row r="193" spans="1:11" x14ac:dyDescent="0.25">
      <c r="A193" t="s">
        <v>311</v>
      </c>
      <c r="D193" s="14"/>
      <c r="E193" s="14"/>
    </row>
    <row r="194" spans="1:11" x14ac:dyDescent="0.25">
      <c r="D194" s="14"/>
      <c r="E194" s="14"/>
    </row>
    <row r="195" spans="1:11" ht="31.5" customHeight="1" thickBot="1" x14ac:dyDescent="0.3">
      <c r="A195" s="383" t="s">
        <v>312</v>
      </c>
      <c r="B195" s="383"/>
      <c r="C195" t="s">
        <v>313</v>
      </c>
      <c r="D195" s="14" t="s">
        <v>81</v>
      </c>
      <c r="E195" s="14" t="s">
        <v>79</v>
      </c>
      <c r="F195" s="314" t="s">
        <v>116</v>
      </c>
      <c r="G195" s="315" t="s">
        <v>144</v>
      </c>
      <c r="H195" s="150" t="s">
        <v>145</v>
      </c>
      <c r="I195" t="s">
        <v>317</v>
      </c>
      <c r="J195" s="313" t="s">
        <v>314</v>
      </c>
    </row>
    <row r="196" spans="1:11" x14ac:dyDescent="0.25">
      <c r="A196" s="316"/>
      <c r="B196" s="317"/>
      <c r="C196" s="317"/>
      <c r="D196" s="318"/>
      <c r="E196" s="328"/>
      <c r="F196" s="317"/>
      <c r="G196" s="317"/>
      <c r="H196" s="317"/>
      <c r="I196" s="317"/>
      <c r="J196" s="319"/>
    </row>
    <row r="197" spans="1:11" x14ac:dyDescent="0.25">
      <c r="A197" s="320"/>
      <c r="B197" s="369" t="s">
        <v>316</v>
      </c>
      <c r="C197" s="369"/>
      <c r="D197" s="321">
        <f>+D134</f>
        <v>262836098</v>
      </c>
      <c r="E197" s="329">
        <f>+E134</f>
        <v>286265072.85000002</v>
      </c>
      <c r="F197" s="151">
        <f>+F134</f>
        <v>140414116</v>
      </c>
      <c r="G197" s="151">
        <f t="shared" ref="G197:H197" si="5">+G134</f>
        <v>90497782</v>
      </c>
      <c r="H197" s="151">
        <f t="shared" si="5"/>
        <v>31924200</v>
      </c>
      <c r="I197" s="322">
        <f>+I139</f>
        <v>0.46577309179198056</v>
      </c>
      <c r="J197" s="323">
        <v>1.83</v>
      </c>
      <c r="K197" t="s">
        <v>335</v>
      </c>
    </row>
    <row r="198" spans="1:11" x14ac:dyDescent="0.25">
      <c r="A198" s="320"/>
      <c r="B198" s="369"/>
      <c r="C198" s="369"/>
      <c r="D198" s="324"/>
      <c r="E198" s="330"/>
      <c r="F198" s="43"/>
      <c r="G198" s="43"/>
      <c r="H198" s="43"/>
      <c r="I198" s="43"/>
      <c r="J198" s="323"/>
    </row>
    <row r="199" spans="1:11" x14ac:dyDescent="0.25">
      <c r="A199" s="320"/>
      <c r="B199" s="43"/>
      <c r="C199" s="43"/>
      <c r="D199" s="324"/>
      <c r="E199" s="330"/>
      <c r="F199" s="43"/>
      <c r="G199" s="43"/>
      <c r="H199" s="43"/>
      <c r="I199" s="43"/>
      <c r="J199" s="323"/>
    </row>
    <row r="200" spans="1:11" ht="15" customHeight="1" x14ac:dyDescent="0.25">
      <c r="A200" s="320" t="s">
        <v>315</v>
      </c>
      <c r="B200" s="369" t="s">
        <v>336</v>
      </c>
      <c r="C200" s="369"/>
      <c r="D200" s="321">
        <f>+D80+D126</f>
        <v>193806449</v>
      </c>
      <c r="E200" s="329">
        <f t="shared" ref="E200:H200" si="6">+E80+E126</f>
        <v>207279441</v>
      </c>
      <c r="F200" s="321">
        <f t="shared" si="6"/>
        <v>103049360</v>
      </c>
      <c r="G200" s="321">
        <f t="shared" si="6"/>
        <v>67357089</v>
      </c>
      <c r="H200" s="321">
        <f t="shared" si="6"/>
        <v>23400000</v>
      </c>
      <c r="I200" s="325">
        <f>+(1-(F200/D200))</f>
        <v>0.468287249822115</v>
      </c>
      <c r="J200" s="362">
        <v>2.5</v>
      </c>
      <c r="K200" t="s">
        <v>331</v>
      </c>
    </row>
    <row r="201" spans="1:11" x14ac:dyDescent="0.25">
      <c r="A201" s="320"/>
      <c r="B201" s="369"/>
      <c r="C201" s="369"/>
      <c r="D201" s="43"/>
      <c r="E201" s="104"/>
      <c r="F201" s="43"/>
      <c r="G201" s="43"/>
      <c r="H201" s="43"/>
      <c r="I201" s="325"/>
      <c r="J201" s="323"/>
    </row>
    <row r="202" spans="1:11" ht="42.75" customHeight="1" x14ac:dyDescent="0.25">
      <c r="A202" s="320"/>
      <c r="B202" s="369"/>
      <c r="C202" s="369"/>
      <c r="D202" s="43"/>
      <c r="E202" s="104"/>
      <c r="F202" s="43"/>
      <c r="G202" s="43"/>
      <c r="H202" s="43"/>
      <c r="I202" s="325"/>
      <c r="J202" s="323"/>
    </row>
    <row r="203" spans="1:11" ht="18.75" customHeight="1" x14ac:dyDescent="0.25">
      <c r="A203" s="320"/>
      <c r="B203" s="150"/>
      <c r="C203" s="150"/>
      <c r="D203" s="43"/>
      <c r="E203" s="104"/>
      <c r="F203" s="43"/>
      <c r="G203" s="43"/>
      <c r="H203" s="43"/>
      <c r="I203" s="325"/>
      <c r="J203" s="323"/>
    </row>
    <row r="204" spans="1:11" ht="96" customHeight="1" x14ac:dyDescent="0.25">
      <c r="A204" s="353" t="s">
        <v>332</v>
      </c>
      <c r="B204" s="370" t="s">
        <v>337</v>
      </c>
      <c r="C204" s="370"/>
      <c r="D204" s="355">
        <f>+D170+D172+D174+D176+D178</f>
        <v>148085538</v>
      </c>
      <c r="E204" s="355">
        <f>+E170+E172+E174+E176+E178</f>
        <v>166810961</v>
      </c>
      <c r="F204" s="360">
        <f>+F170+F172+F174+F176+F178</f>
        <v>70587756</v>
      </c>
      <c r="G204" s="355">
        <f t="shared" ref="G204:I204" si="7">+G170+G172+G174+G176+G178</f>
        <v>77497782</v>
      </c>
      <c r="H204" s="355">
        <f t="shared" si="7"/>
        <v>0</v>
      </c>
      <c r="I204" s="355">
        <f t="shared" si="7"/>
        <v>0</v>
      </c>
      <c r="J204" s="361">
        <v>3.09</v>
      </c>
      <c r="K204" s="354" t="s">
        <v>334</v>
      </c>
    </row>
    <row r="205" spans="1:11" x14ac:dyDescent="0.25">
      <c r="A205" s="320"/>
      <c r="B205" s="43"/>
      <c r="C205" s="43"/>
      <c r="D205" s="43"/>
      <c r="E205" s="104"/>
      <c r="F205" s="43"/>
      <c r="G205" s="43"/>
      <c r="H205" s="43"/>
      <c r="I205" s="325"/>
      <c r="J205" s="323"/>
    </row>
    <row r="206" spans="1:11" x14ac:dyDescent="0.25">
      <c r="A206" s="320" t="s">
        <v>333</v>
      </c>
      <c r="B206" s="384" t="s">
        <v>338</v>
      </c>
      <c r="C206" s="384"/>
      <c r="D206" s="181">
        <f>66861604+10000000+D126</f>
        <v>132718693</v>
      </c>
      <c r="E206" s="356">
        <f>66269675+10500000+E126</f>
        <v>142891685</v>
      </c>
      <c r="F206" s="181">
        <f>+D206-G206-H206</f>
        <v>41961604</v>
      </c>
      <c r="G206" s="181">
        <f>+G80+G126</f>
        <v>67357089</v>
      </c>
      <c r="H206" s="181">
        <f>+H82</f>
        <v>23400000</v>
      </c>
      <c r="I206" s="357">
        <f t="shared" ref="I206" si="8">+(1-(F206/D206))</f>
        <v>0.68383049100702031</v>
      </c>
      <c r="J206" s="323">
        <v>2.5499999999999998</v>
      </c>
      <c r="K206" s="70" t="s">
        <v>339</v>
      </c>
    </row>
    <row r="207" spans="1:11" ht="86.25" customHeight="1" thickBot="1" x14ac:dyDescent="0.3">
      <c r="A207" s="326"/>
      <c r="B207" s="385"/>
      <c r="C207" s="385"/>
      <c r="D207" s="358"/>
      <c r="E207" s="359"/>
      <c r="F207" s="358"/>
      <c r="G207" s="358"/>
      <c r="H207" s="358"/>
      <c r="I207" s="358"/>
      <c r="J207" s="327"/>
    </row>
  </sheetData>
  <mergeCells count="29">
    <mergeCell ref="B206:C207"/>
    <mergeCell ref="A158:C158"/>
    <mergeCell ref="B159:C159"/>
    <mergeCell ref="B153:C153"/>
    <mergeCell ref="A154:C154"/>
    <mergeCell ref="B155:C155"/>
    <mergeCell ref="B156:C156"/>
    <mergeCell ref="B157:C157"/>
    <mergeCell ref="B160:C160"/>
    <mergeCell ref="B161:C161"/>
    <mergeCell ref="A162:C162"/>
    <mergeCell ref="A163:C163"/>
    <mergeCell ref="A164:C164"/>
    <mergeCell ref="B200:C202"/>
    <mergeCell ref="B204:C204"/>
    <mergeCell ref="B168:C168"/>
    <mergeCell ref="A169:C169"/>
    <mergeCell ref="A170:C170"/>
    <mergeCell ref="A171:C171"/>
    <mergeCell ref="A172:C172"/>
    <mergeCell ref="A173:C173"/>
    <mergeCell ref="A174:C174"/>
    <mergeCell ref="A175:C175"/>
    <mergeCell ref="A176:C176"/>
    <mergeCell ref="A177:C177"/>
    <mergeCell ref="A178:C178"/>
    <mergeCell ref="A179:C179"/>
    <mergeCell ref="A195:B195"/>
    <mergeCell ref="B197:C198"/>
  </mergeCells>
  <pageMargins left="0.7" right="0.7" top="0.75" bottom="0.75" header="0.3" footer="0.3"/>
  <pageSetup scale="96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>
    <pageSetUpPr fitToPage="1"/>
  </sheetPr>
  <dimension ref="A1:W306"/>
  <sheetViews>
    <sheetView zoomScale="80" zoomScaleNormal="80" workbookViewId="0"/>
  </sheetViews>
  <sheetFormatPr defaultRowHeight="15" x14ac:dyDescent="0.25"/>
  <cols>
    <col min="1" max="1" width="5.42578125" customWidth="1"/>
    <col min="2" max="2" width="5" customWidth="1"/>
    <col min="3" max="3" width="53.140625" customWidth="1"/>
    <col min="4" max="4" width="15.28515625" customWidth="1"/>
    <col min="5" max="5" width="17.28515625" customWidth="1"/>
    <col min="6" max="6" width="13.42578125" customWidth="1"/>
    <col min="7" max="7" width="13.28515625" customWidth="1"/>
    <col min="8" max="8" width="13.85546875" bestFit="1" customWidth="1"/>
    <col min="9" max="9" width="13.28515625" customWidth="1"/>
    <col min="10" max="10" width="13.28515625" bestFit="1" customWidth="1"/>
    <col min="11" max="11" width="13.28515625" customWidth="1"/>
    <col min="12" max="12" width="15" customWidth="1"/>
    <col min="13" max="13" width="15.28515625" customWidth="1"/>
    <col min="14" max="14" width="13.7109375" customWidth="1"/>
    <col min="15" max="15" width="14.7109375" customWidth="1"/>
    <col min="16" max="16" width="10.7109375" customWidth="1"/>
    <col min="18" max="18" width="13.28515625" customWidth="1"/>
    <col min="19" max="19" width="11" bestFit="1" customWidth="1"/>
  </cols>
  <sheetData>
    <row r="1" spans="1:18" ht="18.75" x14ac:dyDescent="0.3">
      <c r="A1" s="75" t="s">
        <v>58</v>
      </c>
      <c r="H1" s="241"/>
      <c r="I1" s="241"/>
      <c r="J1" s="241"/>
      <c r="K1" s="241"/>
      <c r="L1" s="241"/>
    </row>
    <row r="3" spans="1:18" x14ac:dyDescent="0.25">
      <c r="C3" t="s">
        <v>51</v>
      </c>
    </row>
    <row r="4" spans="1:18" x14ac:dyDescent="0.25">
      <c r="C4" t="s">
        <v>60</v>
      </c>
      <c r="D4" s="107"/>
      <c r="E4" s="107"/>
    </row>
    <row r="5" spans="1:18" x14ac:dyDescent="0.25">
      <c r="C5" t="s">
        <v>78</v>
      </c>
      <c r="D5" s="7"/>
      <c r="E5" s="7"/>
    </row>
    <row r="6" spans="1:18" x14ac:dyDescent="0.25">
      <c r="C6" t="s">
        <v>0</v>
      </c>
      <c r="D6" s="21"/>
      <c r="E6" s="21"/>
      <c r="G6" s="62"/>
    </row>
    <row r="7" spans="1:18" x14ac:dyDescent="0.25">
      <c r="C7" t="s">
        <v>59</v>
      </c>
      <c r="D7" s="86"/>
      <c r="E7" s="86"/>
    </row>
    <row r="8" spans="1:18" x14ac:dyDescent="0.25">
      <c r="C8" t="s">
        <v>23</v>
      </c>
      <c r="D8" s="61"/>
      <c r="E8" s="61"/>
      <c r="H8" s="199"/>
      <c r="J8" s="199" t="s">
        <v>100</v>
      </c>
      <c r="K8" s="117" t="s">
        <v>99</v>
      </c>
    </row>
    <row r="9" spans="1:18" ht="18.75" x14ac:dyDescent="0.3">
      <c r="A9" s="31" t="s">
        <v>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</row>
    <row r="10" spans="1:18" ht="45" x14ac:dyDescent="0.25">
      <c r="A10" s="4"/>
      <c r="B10" s="4"/>
      <c r="C10" s="4" t="s">
        <v>3</v>
      </c>
      <c r="D10" s="20" t="s">
        <v>80</v>
      </c>
      <c r="E10" s="20" t="s">
        <v>79</v>
      </c>
      <c r="F10" s="22">
        <v>2017</v>
      </c>
      <c r="G10" s="4">
        <v>2018</v>
      </c>
      <c r="H10" s="4">
        <v>2019</v>
      </c>
      <c r="I10" s="150">
        <v>2020</v>
      </c>
      <c r="J10" s="101">
        <v>2021</v>
      </c>
      <c r="K10" s="4">
        <v>2022</v>
      </c>
      <c r="L10" s="4">
        <v>2023</v>
      </c>
      <c r="M10" s="4">
        <v>2024</v>
      </c>
      <c r="N10" s="4">
        <v>2025</v>
      </c>
      <c r="O10" s="4">
        <v>2026</v>
      </c>
      <c r="P10" s="4">
        <v>2027</v>
      </c>
      <c r="Q10" s="4">
        <v>2028</v>
      </c>
      <c r="R10" s="22" t="s">
        <v>224</v>
      </c>
    </row>
    <row r="11" spans="1:18" x14ac:dyDescent="0.25">
      <c r="A11" s="3" t="s">
        <v>5</v>
      </c>
      <c r="B11" s="3"/>
      <c r="C11" s="3"/>
      <c r="D11" s="5"/>
      <c r="E11" s="108"/>
      <c r="F11" s="111"/>
      <c r="G11" s="112"/>
      <c r="H11" s="112"/>
      <c r="I11" s="93"/>
      <c r="J11" s="102"/>
      <c r="K11" s="6"/>
      <c r="L11" s="6"/>
      <c r="M11" s="6"/>
      <c r="N11" s="6"/>
      <c r="O11" s="6"/>
      <c r="P11" s="6"/>
      <c r="Q11" s="6"/>
      <c r="R11" s="29">
        <f>SUM(G11:Q11)</f>
        <v>0</v>
      </c>
    </row>
    <row r="12" spans="1:18" x14ac:dyDescent="0.25">
      <c r="A12" s="3"/>
      <c r="B12" s="3"/>
      <c r="C12" s="3" t="s">
        <v>6</v>
      </c>
      <c r="D12" s="7">
        <f>E12-F12-G12-H12-I12-J12</f>
        <v>0</v>
      </c>
      <c r="E12" s="107">
        <f t="shared" ref="E12:E17" si="0">SUM(F12:Q12)</f>
        <v>2121910.0647499999</v>
      </c>
      <c r="F12" s="96">
        <f>F74-F30-F32-F17</f>
        <v>249092.44890000005</v>
      </c>
      <c r="G12" s="28">
        <f>G74-G30-G32-G17</f>
        <v>479309.2649999999</v>
      </c>
      <c r="H12" s="28">
        <f>H74-H30-H32-H17</f>
        <v>205963.90944999992</v>
      </c>
      <c r="I12" s="28">
        <f>I74-I30-I32-SUM(I13:I17)</f>
        <v>147492.25139999995</v>
      </c>
      <c r="J12" s="41">
        <f>J74-J30-J32-SUM(J13:J17)</f>
        <v>1040052.19</v>
      </c>
      <c r="K12" s="131"/>
      <c r="L12" s="131"/>
      <c r="M12" s="8"/>
      <c r="N12" s="8"/>
      <c r="O12" s="8"/>
      <c r="P12" s="8"/>
      <c r="Q12" s="8"/>
      <c r="R12" s="29">
        <f t="shared" ref="R12:R38" si="1">SUM(G12:Q12)</f>
        <v>1872817.6158499997</v>
      </c>
    </row>
    <row r="13" spans="1:18" x14ac:dyDescent="0.25">
      <c r="A13" s="3"/>
      <c r="B13" s="3"/>
      <c r="C13" s="3" t="s">
        <v>7</v>
      </c>
      <c r="D13" s="7">
        <f t="shared" ref="D13:D18" si="2">E13-F13-G13-H13-I13-J13</f>
        <v>0</v>
      </c>
      <c r="E13" s="107">
        <f t="shared" si="0"/>
        <v>0</v>
      </c>
      <c r="F13" s="96"/>
      <c r="G13" s="28"/>
      <c r="H13" s="28"/>
      <c r="I13" s="28"/>
      <c r="J13" s="41"/>
      <c r="K13" s="8"/>
      <c r="L13" s="8"/>
      <c r="M13" s="8"/>
      <c r="N13" s="8"/>
      <c r="O13" s="8"/>
      <c r="P13" s="8"/>
      <c r="Q13" s="8"/>
      <c r="R13" s="29">
        <f t="shared" si="1"/>
        <v>0</v>
      </c>
    </row>
    <row r="14" spans="1:18" x14ac:dyDescent="0.25">
      <c r="A14" s="3"/>
      <c r="B14" s="3"/>
      <c r="C14" s="3" t="s">
        <v>16</v>
      </c>
      <c r="D14" s="7">
        <f t="shared" si="2"/>
        <v>0</v>
      </c>
      <c r="E14" s="107">
        <f t="shared" si="0"/>
        <v>0</v>
      </c>
      <c r="F14" s="96"/>
      <c r="G14" s="28"/>
      <c r="H14" s="28"/>
      <c r="I14" s="28"/>
      <c r="J14" s="41"/>
      <c r="K14" s="8"/>
      <c r="L14" s="8"/>
      <c r="M14" s="8"/>
      <c r="N14" s="8"/>
      <c r="O14" s="8"/>
      <c r="P14" s="8"/>
      <c r="Q14" s="8"/>
      <c r="R14" s="29">
        <f t="shared" si="1"/>
        <v>0</v>
      </c>
    </row>
    <row r="15" spans="1:18" x14ac:dyDescent="0.25">
      <c r="A15" s="3"/>
      <c r="B15" s="3"/>
      <c r="C15" s="3" t="s">
        <v>8</v>
      </c>
      <c r="D15" s="7">
        <f t="shared" si="2"/>
        <v>0</v>
      </c>
      <c r="E15" s="107">
        <f t="shared" si="0"/>
        <v>200000</v>
      </c>
      <c r="F15" s="96"/>
      <c r="G15" s="28"/>
      <c r="H15" s="28"/>
      <c r="I15" s="28">
        <v>50000</v>
      </c>
      <c r="J15" s="41">
        <v>150000</v>
      </c>
      <c r="K15" s="8"/>
      <c r="L15" s="8"/>
      <c r="M15" s="8"/>
      <c r="N15" s="8"/>
      <c r="O15" s="8"/>
      <c r="P15" s="8"/>
      <c r="Q15" s="8"/>
      <c r="R15" s="29">
        <f t="shared" si="1"/>
        <v>200000</v>
      </c>
    </row>
    <row r="16" spans="1:18" x14ac:dyDescent="0.25">
      <c r="A16" s="3"/>
      <c r="B16" s="3"/>
      <c r="C16" s="3" t="s">
        <v>12</v>
      </c>
      <c r="D16" s="7">
        <f t="shared" si="2"/>
        <v>500000</v>
      </c>
      <c r="E16" s="107">
        <f t="shared" si="0"/>
        <v>500000</v>
      </c>
      <c r="F16" s="96"/>
      <c r="G16" s="28"/>
      <c r="H16" s="28"/>
      <c r="I16" s="28"/>
      <c r="J16" s="41"/>
      <c r="K16" s="8"/>
      <c r="L16" s="8"/>
      <c r="M16" s="8"/>
      <c r="N16" s="8">
        <v>500000</v>
      </c>
      <c r="O16" s="8"/>
      <c r="P16" s="8"/>
      <c r="Q16" s="8"/>
      <c r="R16" s="29">
        <f t="shared" si="1"/>
        <v>500000</v>
      </c>
    </row>
    <row r="17" spans="1:18" x14ac:dyDescent="0.25">
      <c r="A17" s="3"/>
      <c r="B17" s="3"/>
      <c r="C17" s="3" t="s">
        <v>41</v>
      </c>
      <c r="D17" s="7">
        <f t="shared" si="2"/>
        <v>1500000</v>
      </c>
      <c r="E17" s="107">
        <f t="shared" si="0"/>
        <v>3059000</v>
      </c>
      <c r="F17" s="96"/>
      <c r="G17" s="28">
        <f>859000</f>
        <v>859000</v>
      </c>
      <c r="H17" s="28">
        <v>93899</v>
      </c>
      <c r="I17" s="28">
        <f>200000-H17</f>
        <v>106101</v>
      </c>
      <c r="J17" s="41">
        <v>500000</v>
      </c>
      <c r="K17" s="8">
        <v>500000</v>
      </c>
      <c r="L17" s="8">
        <v>1000000</v>
      </c>
      <c r="M17" s="8"/>
      <c r="N17" s="8"/>
      <c r="O17" s="8"/>
      <c r="P17" s="8"/>
      <c r="Q17" s="8"/>
      <c r="R17" s="29">
        <f t="shared" si="1"/>
        <v>3059000</v>
      </c>
    </row>
    <row r="18" spans="1:18" x14ac:dyDescent="0.25">
      <c r="A18" s="3"/>
      <c r="B18" s="3"/>
      <c r="C18" s="3"/>
      <c r="D18" s="7">
        <f t="shared" si="2"/>
        <v>0</v>
      </c>
      <c r="E18" s="109"/>
      <c r="F18" s="97"/>
      <c r="G18" s="63"/>
      <c r="H18" s="63"/>
      <c r="I18" s="28"/>
      <c r="J18" s="64"/>
      <c r="K18" s="63"/>
      <c r="L18" s="63"/>
      <c r="M18" s="63"/>
      <c r="N18" s="63"/>
      <c r="O18" s="63"/>
      <c r="P18" s="63"/>
      <c r="Q18" s="64"/>
      <c r="R18" s="29">
        <f t="shared" si="1"/>
        <v>0</v>
      </c>
    </row>
    <row r="19" spans="1:18" x14ac:dyDescent="0.25">
      <c r="A19" s="3"/>
      <c r="B19" s="3" t="s">
        <v>19</v>
      </c>
      <c r="C19" s="3"/>
      <c r="D19" s="7">
        <f>SUM(D12:D18)</f>
        <v>2000000</v>
      </c>
      <c r="E19" s="107">
        <f>SUM(E12:E18)</f>
        <v>5880910.0647499999</v>
      </c>
      <c r="F19" s="96">
        <f>SUM(F12:F18)</f>
        <v>249092.44890000005</v>
      </c>
      <c r="G19" s="27">
        <f t="shared" ref="G19:Q19" si="3">SUM(G12:G18)</f>
        <v>1338309.2649999999</v>
      </c>
      <c r="H19" s="27">
        <f t="shared" si="3"/>
        <v>299862.90944999992</v>
      </c>
      <c r="I19" s="27">
        <f t="shared" si="3"/>
        <v>303593.25139999995</v>
      </c>
      <c r="J19" s="55">
        <f t="shared" si="3"/>
        <v>1690052.19</v>
      </c>
      <c r="K19" s="27">
        <f t="shared" si="3"/>
        <v>500000</v>
      </c>
      <c r="L19" s="27">
        <f t="shared" si="3"/>
        <v>1000000</v>
      </c>
      <c r="M19" s="27">
        <f t="shared" si="3"/>
        <v>0</v>
      </c>
      <c r="N19" s="27">
        <f t="shared" si="3"/>
        <v>500000</v>
      </c>
      <c r="O19" s="27">
        <f t="shared" si="3"/>
        <v>0</v>
      </c>
      <c r="P19" s="27">
        <f t="shared" si="3"/>
        <v>0</v>
      </c>
      <c r="Q19" s="55">
        <f t="shared" si="3"/>
        <v>0</v>
      </c>
      <c r="R19" s="29">
        <f t="shared" si="1"/>
        <v>5631817.6158499997</v>
      </c>
    </row>
    <row r="20" spans="1:18" x14ac:dyDescent="0.25">
      <c r="A20" s="3" t="s">
        <v>4</v>
      </c>
      <c r="B20" s="3"/>
      <c r="C20" s="3"/>
      <c r="D20" s="7"/>
      <c r="E20" s="107"/>
      <c r="F20" s="96"/>
      <c r="G20" s="28"/>
      <c r="H20" s="28"/>
      <c r="I20" s="28"/>
      <c r="J20" s="41"/>
      <c r="K20" s="8"/>
      <c r="L20" s="8"/>
      <c r="M20" s="8"/>
      <c r="N20" s="8"/>
      <c r="O20" s="8"/>
      <c r="P20" s="8"/>
      <c r="Q20" s="8"/>
      <c r="R20" s="29">
        <f t="shared" si="1"/>
        <v>0</v>
      </c>
    </row>
    <row r="21" spans="1:18" x14ac:dyDescent="0.25">
      <c r="A21" s="3"/>
      <c r="B21" s="3"/>
      <c r="C21" s="3" t="s">
        <v>10</v>
      </c>
      <c r="D21" s="7">
        <f>E21-F21-G21-H21-I21-J21</f>
        <v>0</v>
      </c>
      <c r="E21" s="107"/>
      <c r="F21" s="96"/>
      <c r="G21" s="28"/>
      <c r="H21" s="28"/>
      <c r="I21" s="28"/>
      <c r="J21" s="41"/>
      <c r="K21" s="8"/>
      <c r="L21" s="8"/>
      <c r="M21" s="8"/>
      <c r="N21" s="8"/>
      <c r="O21" s="8"/>
      <c r="P21" s="8"/>
      <c r="Q21" s="8"/>
      <c r="R21" s="29">
        <f t="shared" si="1"/>
        <v>0</v>
      </c>
    </row>
    <row r="22" spans="1:18" x14ac:dyDescent="0.25">
      <c r="A22" s="3"/>
      <c r="B22" s="3"/>
      <c r="C22" s="3" t="s">
        <v>9</v>
      </c>
      <c r="D22" s="7">
        <f t="shared" ref="D22:D28" si="4">E22-F22-G22-H22-I22-J22</f>
        <v>0</v>
      </c>
      <c r="E22" s="107">
        <f t="shared" ref="E22:E28" si="5">SUM(F22:Q22)</f>
        <v>0</v>
      </c>
      <c r="F22" s="96"/>
      <c r="G22" s="28"/>
      <c r="H22" s="28"/>
      <c r="I22" s="28"/>
      <c r="J22" s="41"/>
      <c r="K22" s="8"/>
      <c r="L22" s="8"/>
      <c r="M22" s="8"/>
      <c r="N22" s="8"/>
      <c r="O22" s="8"/>
      <c r="P22" s="8"/>
      <c r="Q22" s="8"/>
      <c r="R22" s="29">
        <f t="shared" si="1"/>
        <v>0</v>
      </c>
    </row>
    <row r="23" spans="1:18" x14ac:dyDescent="0.25">
      <c r="A23" s="3"/>
      <c r="B23" s="3"/>
      <c r="C23" s="232" t="s">
        <v>101</v>
      </c>
      <c r="D23" s="7">
        <f t="shared" si="4"/>
        <v>8524200</v>
      </c>
      <c r="E23" s="206">
        <f t="shared" si="5"/>
        <v>8524200</v>
      </c>
      <c r="F23" s="96"/>
      <c r="G23" s="53"/>
      <c r="H23" s="53"/>
      <c r="I23" s="53"/>
      <c r="J23" s="54"/>
      <c r="K23" s="131"/>
      <c r="L23" s="131">
        <v>546000</v>
      </c>
      <c r="M23" s="131">
        <v>3000000</v>
      </c>
      <c r="N23" s="131">
        <v>4978200</v>
      </c>
      <c r="O23" s="8"/>
      <c r="P23" s="8"/>
      <c r="Q23" s="8"/>
      <c r="R23" s="29">
        <f>SUM(G23:P23)</f>
        <v>8524200</v>
      </c>
    </row>
    <row r="24" spans="1:18" x14ac:dyDescent="0.25">
      <c r="A24" s="3"/>
      <c r="B24" s="3"/>
      <c r="C24" s="3" t="s">
        <v>35</v>
      </c>
      <c r="D24" s="7">
        <f t="shared" si="4"/>
        <v>0</v>
      </c>
      <c r="E24" s="107">
        <f t="shared" si="5"/>
        <v>0</v>
      </c>
      <c r="F24" s="96"/>
      <c r="G24" s="28"/>
      <c r="H24" s="28"/>
      <c r="I24" s="28"/>
      <c r="J24" s="41"/>
      <c r="K24" s="8"/>
      <c r="L24" s="8"/>
      <c r="M24" s="8"/>
      <c r="N24" s="8"/>
      <c r="O24" s="8"/>
      <c r="P24" s="8"/>
      <c r="Q24" s="8"/>
      <c r="R24" s="29">
        <f t="shared" si="1"/>
        <v>0</v>
      </c>
    </row>
    <row r="25" spans="1:18" x14ac:dyDescent="0.25">
      <c r="A25" s="3"/>
      <c r="B25" s="3"/>
      <c r="C25" s="3" t="s">
        <v>36</v>
      </c>
      <c r="D25" s="7">
        <f t="shared" si="4"/>
        <v>21140693</v>
      </c>
      <c r="E25" s="107">
        <f t="shared" si="5"/>
        <v>23000001</v>
      </c>
      <c r="F25" s="96">
        <f>G88</f>
        <v>0</v>
      </c>
      <c r="G25" s="44">
        <f>H88+H96</f>
        <v>163576</v>
      </c>
      <c r="H25" s="44">
        <f t="shared" ref="H25:P25" si="6">I88+I96</f>
        <v>171700</v>
      </c>
      <c r="I25" s="28">
        <f t="shared" si="6"/>
        <v>667099</v>
      </c>
      <c r="J25" s="41">
        <f t="shared" si="6"/>
        <v>856933</v>
      </c>
      <c r="K25" s="44">
        <f t="shared" si="6"/>
        <v>896216</v>
      </c>
      <c r="L25" s="44">
        <f t="shared" si="6"/>
        <v>7543950</v>
      </c>
      <c r="M25" s="44">
        <f t="shared" si="6"/>
        <v>7510817</v>
      </c>
      <c r="N25" s="44">
        <f t="shared" si="6"/>
        <v>3732152</v>
      </c>
      <c r="O25" s="44">
        <f t="shared" si="6"/>
        <v>1084884</v>
      </c>
      <c r="P25" s="44">
        <f t="shared" si="6"/>
        <v>372674</v>
      </c>
      <c r="Q25" s="8"/>
      <c r="R25" s="29">
        <f>SUM(G25:P25)</f>
        <v>23000001</v>
      </c>
    </row>
    <row r="26" spans="1:18" x14ac:dyDescent="0.25">
      <c r="A26" s="3"/>
      <c r="B26" s="3"/>
      <c r="C26" s="3" t="s">
        <v>38</v>
      </c>
      <c r="D26" s="7">
        <f t="shared" si="4"/>
        <v>0</v>
      </c>
      <c r="E26" s="107">
        <f t="shared" si="5"/>
        <v>113000</v>
      </c>
      <c r="F26" s="96"/>
      <c r="G26" s="28">
        <v>113000</v>
      </c>
      <c r="H26" s="28"/>
      <c r="I26" s="28"/>
      <c r="J26" s="41"/>
      <c r="K26" s="8"/>
      <c r="L26" s="8"/>
      <c r="M26" s="8"/>
      <c r="N26" s="8"/>
      <c r="O26" s="8"/>
      <c r="P26" s="8"/>
      <c r="Q26" s="8"/>
      <c r="R26" s="29">
        <f>SUM(G26:P26)</f>
        <v>113000</v>
      </c>
    </row>
    <row r="27" spans="1:18" x14ac:dyDescent="0.25">
      <c r="A27" s="3"/>
      <c r="B27" s="3"/>
      <c r="C27" s="3" t="s">
        <v>11</v>
      </c>
      <c r="D27" s="7">
        <f t="shared" si="4"/>
        <v>0</v>
      </c>
      <c r="E27" s="107">
        <f t="shared" si="5"/>
        <v>0</v>
      </c>
      <c r="F27" s="96"/>
      <c r="G27" s="28"/>
      <c r="H27" s="28"/>
      <c r="I27" s="28"/>
      <c r="J27" s="41"/>
      <c r="K27" s="8"/>
      <c r="L27" s="8"/>
      <c r="M27" s="8"/>
      <c r="N27" s="8"/>
      <c r="O27" s="8"/>
      <c r="P27" s="8"/>
      <c r="Q27" s="8"/>
      <c r="R27" s="29">
        <f t="shared" si="1"/>
        <v>0</v>
      </c>
    </row>
    <row r="28" spans="1:18" x14ac:dyDescent="0.25">
      <c r="A28" s="3"/>
      <c r="B28" s="3"/>
      <c r="C28" s="3" t="s">
        <v>71</v>
      </c>
      <c r="D28" s="7">
        <f t="shared" si="4"/>
        <v>0</v>
      </c>
      <c r="E28" s="107">
        <f t="shared" si="5"/>
        <v>0</v>
      </c>
      <c r="F28" s="96"/>
      <c r="G28" s="28"/>
      <c r="H28" s="28"/>
      <c r="I28" s="28"/>
      <c r="J28" s="41"/>
      <c r="K28" s="8"/>
      <c r="L28" s="8"/>
      <c r="M28" s="8"/>
      <c r="N28" s="8"/>
      <c r="O28" s="8"/>
      <c r="P28" s="8"/>
      <c r="Q28" s="8"/>
      <c r="R28" s="29"/>
    </row>
    <row r="29" spans="1:18" x14ac:dyDescent="0.25">
      <c r="A29" s="3"/>
      <c r="B29" s="3"/>
      <c r="C29" s="3"/>
      <c r="D29" s="9"/>
      <c r="E29" s="109"/>
      <c r="F29" s="97"/>
      <c r="G29" s="63"/>
      <c r="H29" s="63"/>
      <c r="I29" s="63"/>
      <c r="J29" s="64"/>
      <c r="K29" s="63"/>
      <c r="L29" s="63"/>
      <c r="M29" s="63"/>
      <c r="N29" s="63"/>
      <c r="O29" s="63"/>
      <c r="P29" s="63"/>
      <c r="Q29" s="64"/>
      <c r="R29" s="29">
        <f t="shared" si="1"/>
        <v>0</v>
      </c>
    </row>
    <row r="30" spans="1:18" x14ac:dyDescent="0.25">
      <c r="A30" s="3"/>
      <c r="B30" s="3" t="s">
        <v>17</v>
      </c>
      <c r="C30" s="3"/>
      <c r="D30" s="7">
        <f>SUM(D21:D29)</f>
        <v>29664893</v>
      </c>
      <c r="E30" s="107">
        <f>SUM(E21:E29)</f>
        <v>31637201</v>
      </c>
      <c r="F30" s="96">
        <f>SUM(F21:F29)</f>
        <v>0</v>
      </c>
      <c r="G30" s="27">
        <f t="shared" ref="G30:Q30" si="7">SUM(G21:G29)</f>
        <v>276576</v>
      </c>
      <c r="H30" s="27">
        <f t="shared" si="7"/>
        <v>171700</v>
      </c>
      <c r="I30" s="27">
        <f t="shared" si="7"/>
        <v>667099</v>
      </c>
      <c r="J30" s="55">
        <f t="shared" si="7"/>
        <v>856933</v>
      </c>
      <c r="K30" s="27">
        <f t="shared" si="7"/>
        <v>896216</v>
      </c>
      <c r="L30" s="27">
        <f t="shared" si="7"/>
        <v>8089950</v>
      </c>
      <c r="M30" s="27">
        <f t="shared" si="7"/>
        <v>10510817</v>
      </c>
      <c r="N30" s="27">
        <f t="shared" si="7"/>
        <v>8710352</v>
      </c>
      <c r="O30" s="27">
        <f t="shared" si="7"/>
        <v>1084884</v>
      </c>
      <c r="P30" s="27">
        <f t="shared" si="7"/>
        <v>372674</v>
      </c>
      <c r="Q30" s="55">
        <f t="shared" si="7"/>
        <v>0</v>
      </c>
      <c r="R30" s="29">
        <f t="shared" si="1"/>
        <v>31637201</v>
      </c>
    </row>
    <row r="31" spans="1:18" x14ac:dyDescent="0.25">
      <c r="A31" s="3" t="s">
        <v>13</v>
      </c>
      <c r="B31" s="3"/>
      <c r="C31" s="3"/>
      <c r="D31" s="7"/>
      <c r="E31" s="107"/>
      <c r="F31" s="96"/>
      <c r="G31" s="28"/>
      <c r="H31" s="28"/>
      <c r="I31" s="28"/>
      <c r="J31" s="41"/>
      <c r="K31" s="8"/>
      <c r="L31" s="8"/>
      <c r="M31" s="8"/>
      <c r="N31" s="8"/>
      <c r="O31" s="8"/>
      <c r="P31" s="8"/>
      <c r="Q31" s="8"/>
      <c r="R31" s="29">
        <f t="shared" si="1"/>
        <v>0</v>
      </c>
    </row>
    <row r="32" spans="1:18" x14ac:dyDescent="0.25">
      <c r="A32" s="3"/>
      <c r="B32" s="3"/>
      <c r="C32" s="3" t="s">
        <v>14</v>
      </c>
      <c r="D32" s="7">
        <f>E32-F32-G32-H32-I32-J32</f>
        <v>0</v>
      </c>
      <c r="E32" s="107">
        <f>SUM(F32:Q32)</f>
        <v>3225386.7852500002</v>
      </c>
      <c r="F32" s="96">
        <f>(G104+G111)*0.865</f>
        <v>171112.69110000003</v>
      </c>
      <c r="G32" s="28">
        <f t="shared" ref="G32:L32" si="8">(H104+H111)*0.865</f>
        <v>63178.735000000001</v>
      </c>
      <c r="H32" s="28">
        <f t="shared" si="8"/>
        <v>657867.16054999991</v>
      </c>
      <c r="I32" s="28">
        <f t="shared" si="8"/>
        <v>1115486.3886000002</v>
      </c>
      <c r="J32" s="41">
        <f t="shared" si="8"/>
        <v>1217741.81</v>
      </c>
      <c r="K32" s="28">
        <f t="shared" si="8"/>
        <v>0</v>
      </c>
      <c r="L32" s="28">
        <f t="shared" si="8"/>
        <v>0</v>
      </c>
      <c r="M32" s="8"/>
      <c r="N32" s="8"/>
      <c r="O32" s="8"/>
      <c r="P32" s="8"/>
      <c r="Q32" s="8"/>
      <c r="R32" s="29">
        <f t="shared" si="1"/>
        <v>3054274.0941500003</v>
      </c>
    </row>
    <row r="33" spans="1:18" x14ac:dyDescent="0.25">
      <c r="A33" s="3"/>
      <c r="B33" s="3"/>
      <c r="C33" s="3" t="s">
        <v>15</v>
      </c>
      <c r="D33" s="7">
        <f>E33-F33-G33-H33-I33-J33</f>
        <v>21000000</v>
      </c>
      <c r="E33" s="107">
        <f>SUM(F33:Q33)</f>
        <v>21000000</v>
      </c>
      <c r="F33" s="96"/>
      <c r="G33" s="28"/>
      <c r="H33" s="28"/>
      <c r="I33" s="28"/>
      <c r="J33" s="54"/>
      <c r="K33" s="131">
        <v>1000000</v>
      </c>
      <c r="L33" s="131">
        <v>4000000</v>
      </c>
      <c r="M33" s="8">
        <v>12000000</v>
      </c>
      <c r="N33" s="8">
        <v>4000000</v>
      </c>
      <c r="O33" s="8"/>
      <c r="P33" s="8"/>
      <c r="Q33" s="8"/>
      <c r="R33" s="29">
        <f t="shared" si="1"/>
        <v>21000000</v>
      </c>
    </row>
    <row r="34" spans="1:18" x14ac:dyDescent="0.25">
      <c r="A34" s="3"/>
      <c r="B34" s="3"/>
      <c r="C34" s="3"/>
      <c r="D34" s="7"/>
      <c r="E34" s="107"/>
      <c r="F34" s="96"/>
      <c r="G34" s="28"/>
      <c r="H34" s="28"/>
      <c r="I34" s="28"/>
      <c r="J34" s="41"/>
      <c r="K34" s="8"/>
      <c r="L34" s="8"/>
      <c r="M34" s="8"/>
      <c r="N34" s="8"/>
      <c r="O34" s="8"/>
      <c r="P34" s="8"/>
      <c r="Q34" s="8"/>
      <c r="R34" s="29">
        <f t="shared" si="1"/>
        <v>0</v>
      </c>
    </row>
    <row r="35" spans="1:18" x14ac:dyDescent="0.25">
      <c r="A35" s="3"/>
      <c r="B35" s="3"/>
      <c r="C35" s="3"/>
      <c r="D35" s="9"/>
      <c r="E35" s="109"/>
      <c r="F35" s="97"/>
      <c r="G35" s="28"/>
      <c r="H35" s="28"/>
      <c r="I35" s="63"/>
      <c r="J35" s="41"/>
      <c r="K35" s="8"/>
      <c r="L35" s="8"/>
      <c r="M35" s="8"/>
      <c r="N35" s="8"/>
      <c r="O35" s="8"/>
      <c r="P35" s="8"/>
      <c r="Q35" s="8"/>
      <c r="R35" s="29">
        <f t="shared" si="1"/>
        <v>0</v>
      </c>
    </row>
    <row r="36" spans="1:18" x14ac:dyDescent="0.25">
      <c r="A36" s="3"/>
      <c r="B36" s="3" t="s">
        <v>18</v>
      </c>
      <c r="C36" s="3"/>
      <c r="D36" s="7">
        <f>SUM(D32:D35)</f>
        <v>21000000</v>
      </c>
      <c r="E36" s="107">
        <f>SUM(E32:E35)</f>
        <v>24225386.785250001</v>
      </c>
      <c r="F36" s="96">
        <f>SUM(F32:F35)</f>
        <v>171112.69110000003</v>
      </c>
      <c r="G36" s="71">
        <f t="shared" ref="G36:Q36" si="9">SUM(G32:G35)</f>
        <v>63178.735000000001</v>
      </c>
      <c r="H36" s="71">
        <f t="shared" si="9"/>
        <v>657867.16054999991</v>
      </c>
      <c r="I36" s="27">
        <f t="shared" si="9"/>
        <v>1115486.3886000002</v>
      </c>
      <c r="J36" s="72">
        <f t="shared" si="9"/>
        <v>1217741.81</v>
      </c>
      <c r="K36" s="71">
        <f t="shared" si="9"/>
        <v>1000000</v>
      </c>
      <c r="L36" s="71">
        <f t="shared" si="9"/>
        <v>4000000</v>
      </c>
      <c r="M36" s="71">
        <f t="shared" si="9"/>
        <v>12000000</v>
      </c>
      <c r="N36" s="71">
        <f t="shared" si="9"/>
        <v>4000000</v>
      </c>
      <c r="O36" s="71">
        <f t="shared" si="9"/>
        <v>0</v>
      </c>
      <c r="P36" s="71">
        <f t="shared" si="9"/>
        <v>0</v>
      </c>
      <c r="Q36" s="72">
        <f t="shared" si="9"/>
        <v>0</v>
      </c>
      <c r="R36" s="29">
        <f t="shared" si="1"/>
        <v>24054274.094149999</v>
      </c>
    </row>
    <row r="37" spans="1:18" x14ac:dyDescent="0.25">
      <c r="A37" s="3"/>
      <c r="B37" s="3"/>
      <c r="C37" s="3"/>
      <c r="D37" s="11"/>
      <c r="E37" s="11"/>
      <c r="F37" s="48"/>
      <c r="G37" s="28"/>
      <c r="H37" s="28"/>
      <c r="I37" s="28"/>
      <c r="J37" s="41"/>
      <c r="K37" s="8"/>
      <c r="L37" s="8"/>
      <c r="M37" s="8"/>
      <c r="N37" s="8"/>
      <c r="O37" s="8"/>
      <c r="P37" s="8"/>
      <c r="Q37" s="8"/>
      <c r="R37" s="29">
        <f t="shared" si="1"/>
        <v>0</v>
      </c>
    </row>
    <row r="38" spans="1:18" x14ac:dyDescent="0.25">
      <c r="A38" s="3" t="s">
        <v>30</v>
      </c>
      <c r="B38" s="3"/>
      <c r="C38" s="3"/>
      <c r="D38" s="11">
        <f>D36+D30+D19</f>
        <v>52664893</v>
      </c>
      <c r="E38" s="11">
        <f>E36+E30+E19</f>
        <v>61743497.850000001</v>
      </c>
      <c r="F38" s="11">
        <f>F36+F30+F19</f>
        <v>420205.14000000007</v>
      </c>
      <c r="G38" s="11">
        <f t="shared" ref="G38:Q38" si="10">G36+G30+G19</f>
        <v>1678064</v>
      </c>
      <c r="H38" s="11">
        <f t="shared" si="10"/>
        <v>1129430.0699999998</v>
      </c>
      <c r="I38" s="27">
        <f t="shared" si="10"/>
        <v>2086178.6400000001</v>
      </c>
      <c r="J38" s="55">
        <f t="shared" si="10"/>
        <v>3764727</v>
      </c>
      <c r="K38" s="11">
        <f t="shared" si="10"/>
        <v>2396216</v>
      </c>
      <c r="L38" s="11">
        <f t="shared" si="10"/>
        <v>13089950</v>
      </c>
      <c r="M38" s="11">
        <f t="shared" si="10"/>
        <v>22510817</v>
      </c>
      <c r="N38" s="11">
        <f t="shared" si="10"/>
        <v>13210352</v>
      </c>
      <c r="O38" s="11">
        <f t="shared" si="10"/>
        <v>1084884</v>
      </c>
      <c r="P38" s="11">
        <f t="shared" si="10"/>
        <v>372674</v>
      </c>
      <c r="Q38" s="11">
        <f t="shared" si="10"/>
        <v>0</v>
      </c>
      <c r="R38" s="29">
        <f t="shared" si="1"/>
        <v>61323292.710000001</v>
      </c>
    </row>
    <row r="39" spans="1:18" x14ac:dyDescent="0.25">
      <c r="A39" s="3"/>
      <c r="B39" s="3"/>
      <c r="C39" s="3"/>
      <c r="D39" s="11"/>
      <c r="E39" s="11"/>
      <c r="F39" s="27"/>
      <c r="G39" s="28"/>
      <c r="H39" s="8"/>
      <c r="I39" s="28"/>
      <c r="J39" s="28"/>
      <c r="K39" s="8"/>
      <c r="L39" s="8"/>
      <c r="M39" s="8"/>
      <c r="N39" s="8"/>
      <c r="O39" s="8"/>
      <c r="P39" s="8"/>
      <c r="Q39" s="8"/>
      <c r="R39" s="26"/>
    </row>
    <row r="40" spans="1:18" ht="18.75" x14ac:dyDescent="0.3">
      <c r="A40" s="31" t="s">
        <v>2</v>
      </c>
      <c r="B40" s="10"/>
      <c r="C40" s="10"/>
      <c r="D40" s="12"/>
      <c r="E40" s="12"/>
      <c r="F40" s="12"/>
      <c r="G40" s="25"/>
      <c r="H40" s="10"/>
      <c r="I40" s="94"/>
      <c r="J40" s="200"/>
      <c r="K40" s="10"/>
      <c r="L40" s="10"/>
      <c r="M40" s="10"/>
      <c r="N40" s="10"/>
      <c r="O40" s="10"/>
      <c r="P40" s="10"/>
      <c r="Q40" s="10"/>
      <c r="R40" s="26"/>
    </row>
    <row r="41" spans="1:18" ht="30" x14ac:dyDescent="0.25">
      <c r="A41" s="4"/>
      <c r="B41" s="4"/>
      <c r="C41" s="4" t="s">
        <v>69</v>
      </c>
      <c r="D41" s="20" t="s">
        <v>81</v>
      </c>
      <c r="E41" s="20" t="s">
        <v>79</v>
      </c>
      <c r="F41" s="99">
        <v>2017</v>
      </c>
      <c r="G41" s="4">
        <v>2018</v>
      </c>
      <c r="H41" s="4">
        <v>2019</v>
      </c>
      <c r="I41" s="4">
        <v>2020</v>
      </c>
      <c r="J41" s="101">
        <v>2021</v>
      </c>
      <c r="K41" s="4">
        <v>2022</v>
      </c>
      <c r="L41" s="4">
        <v>2023</v>
      </c>
      <c r="M41" s="4">
        <v>2024</v>
      </c>
      <c r="N41" s="4">
        <v>2025</v>
      </c>
      <c r="O41" s="4">
        <v>2026</v>
      </c>
      <c r="P41" s="4">
        <v>2027</v>
      </c>
      <c r="Q41" s="4">
        <v>2028</v>
      </c>
      <c r="R41" s="22" t="s">
        <v>33</v>
      </c>
    </row>
    <row r="42" spans="1:18" x14ac:dyDescent="0.25">
      <c r="D42" s="7"/>
      <c r="E42" s="107"/>
      <c r="F42" s="113"/>
      <c r="G42" s="68"/>
      <c r="H42" s="68"/>
      <c r="I42" s="28"/>
      <c r="J42" s="41"/>
      <c r="K42" s="8"/>
      <c r="L42" s="8"/>
      <c r="M42" s="8"/>
      <c r="N42" s="8"/>
      <c r="O42" s="8"/>
      <c r="P42" s="8"/>
      <c r="Q42" s="8"/>
      <c r="R42" s="29">
        <f t="shared" ref="R42:R72" si="11">SUM(G42:Q42)</f>
        <v>0</v>
      </c>
    </row>
    <row r="43" spans="1:18" x14ac:dyDescent="0.25">
      <c r="A43" t="s">
        <v>24</v>
      </c>
      <c r="D43" s="39">
        <f>D45+D54+D63</f>
        <v>52664893</v>
      </c>
      <c r="E43" s="107">
        <f>SUM(F43:Q43)</f>
        <v>420205.14000000007</v>
      </c>
      <c r="F43" s="96">
        <f>F45+F54+F63+F42</f>
        <v>420205.14000000007</v>
      </c>
      <c r="G43" s="28"/>
      <c r="H43" s="28"/>
      <c r="I43" s="28"/>
      <c r="J43" s="41"/>
      <c r="K43" s="8"/>
      <c r="L43" s="8"/>
      <c r="M43" s="8"/>
      <c r="N43" s="8"/>
      <c r="O43" s="8"/>
      <c r="P43" s="8"/>
      <c r="Q43" s="8"/>
      <c r="R43" s="29">
        <f t="shared" si="11"/>
        <v>0</v>
      </c>
    </row>
    <row r="44" spans="1:18" x14ac:dyDescent="0.25">
      <c r="D44" s="7"/>
      <c r="E44" s="107"/>
      <c r="F44" s="96"/>
      <c r="G44" s="28"/>
      <c r="H44" s="28"/>
      <c r="I44" s="28"/>
      <c r="J44" s="41"/>
      <c r="K44" s="8"/>
      <c r="L44" s="8"/>
      <c r="M44" s="8"/>
      <c r="N44" s="8"/>
      <c r="O44" s="8"/>
      <c r="P44" s="8"/>
      <c r="Q44" s="8"/>
      <c r="R44" s="29"/>
    </row>
    <row r="45" spans="1:18" x14ac:dyDescent="0.25">
      <c r="B45" t="s">
        <v>26</v>
      </c>
      <c r="D45" s="7">
        <f t="shared" ref="D45:D51" si="12">E45-F45-G45-H45-I45-J45</f>
        <v>16793597</v>
      </c>
      <c r="E45" s="107">
        <f t="shared" ref="E45:E69" si="13">SUM(F45:Q45)</f>
        <v>18236277</v>
      </c>
      <c r="F45" s="96">
        <f>SUM(F46:F51)</f>
        <v>42387</v>
      </c>
      <c r="G45" s="87">
        <f>SUM(G46:G51)</f>
        <v>355025</v>
      </c>
      <c r="H45" s="87">
        <f t="shared" ref="H45:Q45" si="14">SUM(H46:H51)</f>
        <v>171110</v>
      </c>
      <c r="I45" s="87">
        <f t="shared" si="14"/>
        <v>390140</v>
      </c>
      <c r="J45" s="105">
        <f t="shared" si="14"/>
        <v>484018</v>
      </c>
      <c r="K45" s="87">
        <f t="shared" si="14"/>
        <v>847816</v>
      </c>
      <c r="L45" s="56">
        <f t="shared" si="14"/>
        <v>4247499</v>
      </c>
      <c r="M45" s="56">
        <f t="shared" si="14"/>
        <v>6508572</v>
      </c>
      <c r="N45" s="56">
        <f t="shared" si="14"/>
        <v>3732152</v>
      </c>
      <c r="O45" s="56">
        <f t="shared" si="14"/>
        <v>1084884</v>
      </c>
      <c r="P45" s="56">
        <f t="shared" si="14"/>
        <v>372674</v>
      </c>
      <c r="Q45" s="41">
        <f t="shared" si="14"/>
        <v>0</v>
      </c>
      <c r="R45" s="29">
        <f t="shared" si="11"/>
        <v>18193890</v>
      </c>
    </row>
    <row r="46" spans="1:18" x14ac:dyDescent="0.25">
      <c r="C46" t="s">
        <v>20</v>
      </c>
      <c r="D46" s="7">
        <f t="shared" si="12"/>
        <v>1508008</v>
      </c>
      <c r="E46" s="107">
        <f t="shared" si="13"/>
        <v>2702352</v>
      </c>
      <c r="F46" s="96">
        <f>33705+8682</f>
        <v>42387</v>
      </c>
      <c r="G46" s="53">
        <f>H84+340307-148858</f>
        <v>355025</v>
      </c>
      <c r="H46" s="53">
        <f>I84+108463-106022</f>
        <v>171110</v>
      </c>
      <c r="I46" s="28">
        <f>J84</f>
        <v>342938</v>
      </c>
      <c r="J46" s="201">
        <f>K84</f>
        <v>282884</v>
      </c>
      <c r="K46" s="116">
        <f t="shared" ref="K46:P46" si="15">L84</f>
        <v>492149</v>
      </c>
      <c r="L46" s="116">
        <f t="shared" si="15"/>
        <v>980426</v>
      </c>
      <c r="M46" s="116">
        <f t="shared" si="15"/>
        <v>35433</v>
      </c>
      <c r="N46" s="116">
        <f t="shared" si="15"/>
        <v>0</v>
      </c>
      <c r="O46" s="116">
        <f t="shared" si="15"/>
        <v>0</v>
      </c>
      <c r="P46" s="116">
        <f t="shared" si="15"/>
        <v>0</v>
      </c>
      <c r="Q46" s="8"/>
      <c r="R46" s="29">
        <f t="shared" si="11"/>
        <v>2659965</v>
      </c>
    </row>
    <row r="47" spans="1:18" x14ac:dyDescent="0.25">
      <c r="C47" t="s">
        <v>21</v>
      </c>
      <c r="D47" s="7">
        <f t="shared" si="12"/>
        <v>0</v>
      </c>
      <c r="E47" s="107">
        <f t="shared" si="13"/>
        <v>0</v>
      </c>
      <c r="F47" s="96"/>
      <c r="G47" s="28"/>
      <c r="H47" s="28"/>
      <c r="I47" s="28"/>
      <c r="J47" s="41"/>
      <c r="K47" s="8"/>
      <c r="L47" s="8"/>
      <c r="M47" s="8"/>
      <c r="N47" s="8"/>
      <c r="O47" s="8"/>
      <c r="P47" s="8"/>
      <c r="Q47" s="8"/>
      <c r="R47" s="29">
        <f t="shared" si="11"/>
        <v>0</v>
      </c>
    </row>
    <row r="48" spans="1:18" x14ac:dyDescent="0.25">
      <c r="C48" t="s">
        <v>22</v>
      </c>
      <c r="D48" s="7">
        <f t="shared" si="12"/>
        <v>1346664</v>
      </c>
      <c r="E48" s="107">
        <f t="shared" si="13"/>
        <v>1475000</v>
      </c>
      <c r="F48" s="96"/>
      <c r="G48" s="28"/>
      <c r="H48" s="28"/>
      <c r="I48" s="28">
        <f>J85</f>
        <v>47202</v>
      </c>
      <c r="J48" s="41">
        <f>K85</f>
        <v>81134</v>
      </c>
      <c r="K48" s="8">
        <f t="shared" ref="K48:P48" si="16">L85</f>
        <v>43997</v>
      </c>
      <c r="L48" s="8">
        <f t="shared" si="16"/>
        <v>486000</v>
      </c>
      <c r="M48" s="8">
        <f t="shared" si="16"/>
        <v>816667</v>
      </c>
      <c r="N48" s="8">
        <f t="shared" si="16"/>
        <v>0</v>
      </c>
      <c r="O48" s="8">
        <f t="shared" si="16"/>
        <v>0</v>
      </c>
      <c r="P48" s="8">
        <f t="shared" si="16"/>
        <v>0</v>
      </c>
      <c r="Q48" s="8"/>
      <c r="R48" s="29">
        <f t="shared" si="11"/>
        <v>1475000</v>
      </c>
    </row>
    <row r="49" spans="2:19" x14ac:dyDescent="0.25">
      <c r="C49" t="s">
        <v>37</v>
      </c>
      <c r="D49" s="7">
        <f t="shared" si="12"/>
        <v>2090838.75</v>
      </c>
      <c r="E49" s="107">
        <f t="shared" si="13"/>
        <v>2108838.75</v>
      </c>
      <c r="F49" s="96"/>
      <c r="G49" s="28"/>
      <c r="H49" s="28"/>
      <c r="I49" s="28"/>
      <c r="J49" s="41">
        <v>18000</v>
      </c>
      <c r="K49" s="8">
        <v>46750.5</v>
      </c>
      <c r="L49" s="8">
        <v>417160.95</v>
      </c>
      <c r="M49" s="8">
        <v>848470.79999999993</v>
      </c>
      <c r="N49" s="8">
        <v>559822.79999999993</v>
      </c>
      <c r="O49" s="8">
        <v>162732.6</v>
      </c>
      <c r="P49" s="8">
        <v>55901.1</v>
      </c>
      <c r="Q49" s="8"/>
      <c r="R49" s="29">
        <f t="shared" si="11"/>
        <v>2108838.75</v>
      </c>
    </row>
    <row r="50" spans="2:19" x14ac:dyDescent="0.25">
      <c r="C50" t="s">
        <v>23</v>
      </c>
      <c r="D50" s="7">
        <f t="shared" si="12"/>
        <v>10454193.75</v>
      </c>
      <c r="E50" s="107">
        <f t="shared" si="13"/>
        <v>10544193.75</v>
      </c>
      <c r="F50" s="96"/>
      <c r="G50" s="28"/>
      <c r="H50" s="28"/>
      <c r="I50" s="28"/>
      <c r="J50" s="41">
        <f>120000-J49-J51</f>
        <v>90000</v>
      </c>
      <c r="K50" s="8">
        <f>311670-K49-K51</f>
        <v>233752.5</v>
      </c>
      <c r="L50" s="8">
        <f>2781073-L49-L51</f>
        <v>2085804.7499999998</v>
      </c>
      <c r="M50" s="8">
        <f>5656472-M49-M51</f>
        <v>4242354</v>
      </c>
      <c r="N50" s="8">
        <f>3732152-N49-N51</f>
        <v>2799114</v>
      </c>
      <c r="O50" s="8">
        <f>1084884-O49-O51</f>
        <v>813663</v>
      </c>
      <c r="P50" s="8">
        <f>372674-P49-P51</f>
        <v>279505.5</v>
      </c>
      <c r="Q50" s="8">
        <v>0</v>
      </c>
      <c r="R50" s="29">
        <f t="shared" si="11"/>
        <v>10544193.75</v>
      </c>
      <c r="S50" s="62"/>
    </row>
    <row r="51" spans="2:19" x14ac:dyDescent="0.25">
      <c r="C51" t="s">
        <v>39</v>
      </c>
      <c r="D51" s="7">
        <f t="shared" si="12"/>
        <v>1393892.4999999998</v>
      </c>
      <c r="E51" s="107">
        <f t="shared" si="13"/>
        <v>1405892.4999999998</v>
      </c>
      <c r="F51" s="96"/>
      <c r="G51" s="28"/>
      <c r="H51" s="28"/>
      <c r="I51" s="28"/>
      <c r="J51" s="41">
        <v>12000</v>
      </c>
      <c r="K51" s="8">
        <v>31167</v>
      </c>
      <c r="L51" s="8">
        <v>278107.3</v>
      </c>
      <c r="M51" s="8">
        <v>565647.20000000007</v>
      </c>
      <c r="N51" s="8">
        <v>373215.2</v>
      </c>
      <c r="O51" s="8">
        <v>108488.40000000001</v>
      </c>
      <c r="P51" s="8">
        <v>37267.4</v>
      </c>
      <c r="Q51" s="8"/>
      <c r="R51" s="29">
        <f t="shared" si="11"/>
        <v>1405892.4999999998</v>
      </c>
    </row>
    <row r="52" spans="2:19" x14ac:dyDescent="0.25">
      <c r="D52" s="7"/>
      <c r="E52" s="107"/>
      <c r="F52" s="96"/>
      <c r="G52" s="28"/>
      <c r="H52" s="28"/>
      <c r="I52" s="28"/>
      <c r="J52" s="41"/>
      <c r="K52" s="8"/>
      <c r="L52" s="8"/>
      <c r="M52" s="8"/>
      <c r="N52" s="8"/>
      <c r="O52" s="8"/>
      <c r="P52" s="8"/>
      <c r="Q52" s="8"/>
      <c r="R52" s="29">
        <f t="shared" si="11"/>
        <v>0</v>
      </c>
    </row>
    <row r="53" spans="2:19" x14ac:dyDescent="0.25">
      <c r="D53" s="7"/>
      <c r="E53" s="206"/>
      <c r="F53" s="96"/>
      <c r="G53" s="28"/>
      <c r="H53" s="28"/>
      <c r="I53" s="28"/>
      <c r="J53" s="41"/>
      <c r="K53" s="8"/>
      <c r="L53" s="8"/>
      <c r="M53" s="8"/>
      <c r="N53" s="8"/>
      <c r="O53" s="8"/>
      <c r="P53" s="8"/>
      <c r="Q53" s="8"/>
      <c r="R53" s="29">
        <f t="shared" si="11"/>
        <v>0</v>
      </c>
    </row>
    <row r="54" spans="2:19" x14ac:dyDescent="0.25">
      <c r="B54" t="s">
        <v>167</v>
      </c>
      <c r="D54" s="7">
        <f>E54-F54-G54-H54-I54-J54</f>
        <v>31524200</v>
      </c>
      <c r="E54" s="206">
        <f>SUM(F54:N54)</f>
        <v>38507219.850000001</v>
      </c>
      <c r="F54" s="96">
        <f>SUM(F55:F60)</f>
        <v>377818.14000000007</v>
      </c>
      <c r="G54" s="87">
        <f>SUM(G55:G60)</f>
        <v>1323039</v>
      </c>
      <c r="H54" s="87">
        <f t="shared" ref="H54:Q54" si="17">SUM(H55:H60)</f>
        <v>955289.07</v>
      </c>
      <c r="I54" s="87">
        <f t="shared" si="17"/>
        <v>1419079.6400000001</v>
      </c>
      <c r="J54" s="105">
        <f t="shared" si="17"/>
        <v>2907794</v>
      </c>
      <c r="K54" s="87">
        <f t="shared" si="17"/>
        <v>1500000</v>
      </c>
      <c r="L54" s="56">
        <f t="shared" si="17"/>
        <v>5546000</v>
      </c>
      <c r="M54" s="56">
        <f t="shared" si="17"/>
        <v>15000000</v>
      </c>
      <c r="N54" s="56">
        <f t="shared" si="17"/>
        <v>9478200</v>
      </c>
      <c r="O54" s="28">
        <f t="shared" si="17"/>
        <v>0</v>
      </c>
      <c r="P54" s="28">
        <f t="shared" si="17"/>
        <v>0</v>
      </c>
      <c r="Q54" s="41">
        <f t="shared" si="17"/>
        <v>0</v>
      </c>
      <c r="R54" s="29">
        <f t="shared" si="11"/>
        <v>38129401.710000001</v>
      </c>
    </row>
    <row r="55" spans="2:19" x14ac:dyDescent="0.25">
      <c r="C55" t="s">
        <v>20</v>
      </c>
      <c r="D55" s="7">
        <f t="shared" ref="D55:D69" si="18">E55-F55-G55-H55-I55-J55</f>
        <v>2045999.9999999995</v>
      </c>
      <c r="E55" s="107">
        <f t="shared" si="13"/>
        <v>4330885.8499999996</v>
      </c>
      <c r="F55" s="96">
        <f t="shared" ref="F55:N55" si="19">G100+G107+G115</f>
        <v>328987.31000000006</v>
      </c>
      <c r="G55" s="28">
        <f t="shared" si="19"/>
        <v>26369.33</v>
      </c>
      <c r="H55" s="28">
        <f t="shared" si="19"/>
        <v>276839.20999999996</v>
      </c>
      <c r="I55" s="28">
        <f t="shared" si="19"/>
        <v>152690</v>
      </c>
      <c r="J55" s="41">
        <f t="shared" si="19"/>
        <v>1500000</v>
      </c>
      <c r="K55" s="28">
        <f t="shared" si="19"/>
        <v>1500000</v>
      </c>
      <c r="L55" s="28">
        <f t="shared" si="19"/>
        <v>546000</v>
      </c>
      <c r="M55" s="28">
        <f t="shared" si="19"/>
        <v>0</v>
      </c>
      <c r="N55" s="28">
        <f t="shared" si="19"/>
        <v>0</v>
      </c>
      <c r="O55" s="8"/>
      <c r="P55" s="8"/>
      <c r="Q55" s="8"/>
      <c r="R55" s="29">
        <f t="shared" si="11"/>
        <v>4001898.54</v>
      </c>
    </row>
    <row r="56" spans="2:19" x14ac:dyDescent="0.25">
      <c r="C56" t="s">
        <v>21</v>
      </c>
      <c r="D56" s="7">
        <f t="shared" si="18"/>
        <v>0</v>
      </c>
      <c r="E56" s="107">
        <f t="shared" si="13"/>
        <v>0</v>
      </c>
      <c r="F56" s="96"/>
      <c r="G56" s="28"/>
      <c r="H56" s="28"/>
      <c r="I56" s="28"/>
      <c r="J56" s="41"/>
      <c r="K56" s="28"/>
      <c r="L56" s="28"/>
      <c r="M56" s="28"/>
      <c r="N56" s="28"/>
      <c r="O56" s="8"/>
      <c r="P56" s="8"/>
      <c r="Q56" s="8"/>
      <c r="R56" s="29">
        <f t="shared" si="11"/>
        <v>0</v>
      </c>
    </row>
    <row r="57" spans="2:19" x14ac:dyDescent="0.25">
      <c r="C57" t="s">
        <v>22</v>
      </c>
      <c r="D57" s="7">
        <f t="shared" si="18"/>
        <v>0</v>
      </c>
      <c r="E57" s="107">
        <f t="shared" si="13"/>
        <v>3290340</v>
      </c>
      <c r="F57" s="96">
        <f t="shared" ref="F57:N57" si="20">G101+G108+G117</f>
        <v>48830.83</v>
      </c>
      <c r="G57" s="28">
        <f t="shared" si="20"/>
        <v>1296669.67</v>
      </c>
      <c r="H57" s="28">
        <f t="shared" si="20"/>
        <v>678449.86</v>
      </c>
      <c r="I57" s="28">
        <f t="shared" si="20"/>
        <v>1266389.6400000001</v>
      </c>
      <c r="J57" s="41">
        <f t="shared" si="20"/>
        <v>0</v>
      </c>
      <c r="K57" s="28">
        <f t="shared" si="20"/>
        <v>0</v>
      </c>
      <c r="L57" s="28">
        <f t="shared" si="20"/>
        <v>0</v>
      </c>
      <c r="M57" s="28">
        <f t="shared" si="20"/>
        <v>0</v>
      </c>
      <c r="N57" s="28">
        <f t="shared" si="20"/>
        <v>0</v>
      </c>
      <c r="O57" s="8"/>
      <c r="P57" s="8"/>
      <c r="Q57" s="8"/>
      <c r="R57" s="29">
        <f t="shared" si="11"/>
        <v>3241509.17</v>
      </c>
    </row>
    <row r="58" spans="2:19" x14ac:dyDescent="0.25">
      <c r="C58" t="s">
        <v>37</v>
      </c>
      <c r="D58" s="7">
        <f t="shared" si="18"/>
        <v>2837000</v>
      </c>
      <c r="E58" s="107">
        <f t="shared" si="13"/>
        <v>2837000</v>
      </c>
      <c r="F58" s="96"/>
      <c r="G58" s="28"/>
      <c r="H58" s="28"/>
      <c r="I58" s="28"/>
      <c r="J58" s="41"/>
      <c r="K58" s="28"/>
      <c r="L58" s="28">
        <v>1000000</v>
      </c>
      <c r="M58" s="28">
        <v>1000000</v>
      </c>
      <c r="N58" s="28">
        <v>837000</v>
      </c>
      <c r="O58" s="8"/>
      <c r="P58" s="8"/>
      <c r="Q58" s="8"/>
      <c r="R58" s="29">
        <f t="shared" si="11"/>
        <v>2837000</v>
      </c>
    </row>
    <row r="59" spans="2:19" x14ac:dyDescent="0.25">
      <c r="C59" t="s">
        <v>23</v>
      </c>
      <c r="D59" s="7">
        <f t="shared" si="18"/>
        <v>23639000</v>
      </c>
      <c r="E59" s="107">
        <f t="shared" si="13"/>
        <v>25046794</v>
      </c>
      <c r="F59" s="96">
        <f t="shared" ref="F59:K59" si="21">G102+G109+G118</f>
        <v>0</v>
      </c>
      <c r="G59" s="28">
        <f t="shared" si="21"/>
        <v>0</v>
      </c>
      <c r="H59" s="28">
        <f t="shared" si="21"/>
        <v>0</v>
      </c>
      <c r="I59" s="28">
        <f t="shared" si="21"/>
        <v>0</v>
      </c>
      <c r="J59" s="41">
        <f t="shared" si="21"/>
        <v>1407794</v>
      </c>
      <c r="K59" s="28">
        <f t="shared" si="21"/>
        <v>0</v>
      </c>
      <c r="L59" s="28">
        <f>M118-L60-L58</f>
        <v>3000000</v>
      </c>
      <c r="M59" s="28">
        <f>N118-M60-M58</f>
        <v>13000000</v>
      </c>
      <c r="N59" s="28">
        <f>O118-N60-N58</f>
        <v>7639000</v>
      </c>
      <c r="O59" s="8"/>
      <c r="P59" s="8"/>
      <c r="Q59" s="8"/>
      <c r="R59" s="29">
        <f t="shared" si="11"/>
        <v>25046794</v>
      </c>
    </row>
    <row r="60" spans="2:19" x14ac:dyDescent="0.25">
      <c r="C60" t="s">
        <v>39</v>
      </c>
      <c r="D60" s="7">
        <f t="shared" si="18"/>
        <v>3002200</v>
      </c>
      <c r="E60" s="107">
        <f t="shared" si="13"/>
        <v>3002200</v>
      </c>
      <c r="F60" s="96"/>
      <c r="G60" s="28"/>
      <c r="H60" s="28"/>
      <c r="I60" s="28"/>
      <c r="J60" s="41"/>
      <c r="K60" s="8"/>
      <c r="L60" s="8">
        <v>1000000</v>
      </c>
      <c r="M60" s="8">
        <v>1000000</v>
      </c>
      <c r="N60" s="8">
        <v>1002200</v>
      </c>
      <c r="O60" s="8"/>
      <c r="P60" s="8"/>
      <c r="Q60" s="8"/>
      <c r="R60" s="29">
        <f t="shared" si="11"/>
        <v>3002200</v>
      </c>
    </row>
    <row r="61" spans="2:19" x14ac:dyDescent="0.25">
      <c r="D61" s="7">
        <f t="shared" si="18"/>
        <v>0</v>
      </c>
      <c r="E61" s="107"/>
      <c r="F61" s="96"/>
      <c r="G61" s="28"/>
      <c r="H61" s="28"/>
      <c r="I61" s="28"/>
      <c r="J61" s="41"/>
      <c r="K61" s="8"/>
      <c r="L61" s="8"/>
      <c r="M61" s="8"/>
      <c r="N61" s="8"/>
      <c r="O61" s="8"/>
      <c r="P61" s="8"/>
      <c r="Q61" s="8"/>
      <c r="R61" s="29">
        <f t="shared" si="11"/>
        <v>0</v>
      </c>
    </row>
    <row r="62" spans="2:19" x14ac:dyDescent="0.25">
      <c r="D62" s="7">
        <f t="shared" si="18"/>
        <v>0</v>
      </c>
      <c r="E62" s="107"/>
      <c r="F62" s="96"/>
      <c r="G62" s="28"/>
      <c r="H62" s="28"/>
      <c r="I62" s="28"/>
      <c r="J62" s="41"/>
      <c r="K62" s="8"/>
      <c r="L62" s="8"/>
      <c r="M62" s="8"/>
      <c r="N62" s="8"/>
      <c r="O62" s="8"/>
      <c r="P62" s="8"/>
      <c r="Q62" s="8"/>
      <c r="R62" s="29"/>
    </row>
    <row r="63" spans="2:19" x14ac:dyDescent="0.25">
      <c r="B63" t="s">
        <v>42</v>
      </c>
      <c r="D63" s="205">
        <f t="shared" si="18"/>
        <v>4347096</v>
      </c>
      <c r="E63" s="107">
        <f t="shared" si="13"/>
        <v>5000001</v>
      </c>
      <c r="F63" s="96">
        <f>SUM(F64:F68)</f>
        <v>0</v>
      </c>
      <c r="G63" s="87">
        <f>SUM(G64:G69)</f>
        <v>0</v>
      </c>
      <c r="H63" s="87">
        <f t="shared" ref="H63:Q63" si="22">SUM(H64:H69)</f>
        <v>3031</v>
      </c>
      <c r="I63" s="87">
        <f t="shared" si="22"/>
        <v>276959</v>
      </c>
      <c r="J63" s="105">
        <f t="shared" si="22"/>
        <v>372915</v>
      </c>
      <c r="K63" s="56">
        <f t="shared" si="22"/>
        <v>48400</v>
      </c>
      <c r="L63" s="56">
        <f t="shared" si="22"/>
        <v>3296451</v>
      </c>
      <c r="M63" s="56">
        <f t="shared" si="22"/>
        <v>1002245</v>
      </c>
      <c r="N63" s="28">
        <f t="shared" si="22"/>
        <v>0</v>
      </c>
      <c r="O63" s="28">
        <f t="shared" si="22"/>
        <v>0</v>
      </c>
      <c r="P63" s="28">
        <f t="shared" si="22"/>
        <v>0</v>
      </c>
      <c r="Q63" s="41">
        <f t="shared" si="22"/>
        <v>0</v>
      </c>
      <c r="R63" s="29">
        <f t="shared" si="11"/>
        <v>5000001</v>
      </c>
    </row>
    <row r="64" spans="2:19" x14ac:dyDescent="0.25">
      <c r="C64" t="s">
        <v>20</v>
      </c>
      <c r="D64" s="7">
        <f t="shared" si="18"/>
        <v>6021</v>
      </c>
      <c r="E64" s="107">
        <f t="shared" si="13"/>
        <v>633926</v>
      </c>
      <c r="F64" s="96"/>
      <c r="G64" s="28"/>
      <c r="H64" s="28">
        <f t="shared" ref="H64:M64" si="23">I92</f>
        <v>3031</v>
      </c>
      <c r="I64" s="28">
        <f t="shared" si="23"/>
        <v>276959</v>
      </c>
      <c r="J64" s="41">
        <f t="shared" si="23"/>
        <v>347915</v>
      </c>
      <c r="K64" s="28">
        <f t="shared" si="23"/>
        <v>6021</v>
      </c>
      <c r="L64" s="28">
        <f t="shared" si="23"/>
        <v>0</v>
      </c>
      <c r="M64" s="28">
        <f t="shared" si="23"/>
        <v>0</v>
      </c>
      <c r="N64" s="8"/>
      <c r="O64" s="8"/>
      <c r="P64" s="8"/>
      <c r="Q64" s="8"/>
      <c r="R64" s="29">
        <f t="shared" si="11"/>
        <v>633926</v>
      </c>
    </row>
    <row r="65" spans="1:18" x14ac:dyDescent="0.25">
      <c r="C65" t="s">
        <v>21</v>
      </c>
      <c r="D65" s="7">
        <f t="shared" si="18"/>
        <v>0</v>
      </c>
      <c r="E65" s="107">
        <f t="shared" si="13"/>
        <v>0</v>
      </c>
      <c r="F65" s="96"/>
      <c r="G65" s="28"/>
      <c r="H65" s="28"/>
      <c r="I65" s="28"/>
      <c r="J65" s="41"/>
      <c r="K65" s="8"/>
      <c r="L65" s="8"/>
      <c r="M65" s="8"/>
      <c r="N65" s="8"/>
      <c r="O65" s="8"/>
      <c r="P65" s="8"/>
      <c r="Q65" s="8"/>
      <c r="R65" s="29">
        <f t="shared" si="11"/>
        <v>0</v>
      </c>
    </row>
    <row r="66" spans="1:18" x14ac:dyDescent="0.25">
      <c r="C66" t="s">
        <v>22</v>
      </c>
      <c r="D66" s="7">
        <f t="shared" si="18"/>
        <v>0</v>
      </c>
      <c r="E66" s="107">
        <f t="shared" si="13"/>
        <v>25000</v>
      </c>
      <c r="F66" s="96"/>
      <c r="G66" s="28"/>
      <c r="H66" s="28"/>
      <c r="I66" s="28"/>
      <c r="J66" s="41">
        <f>K93</f>
        <v>25000</v>
      </c>
      <c r="K66" s="8"/>
      <c r="L66" s="8"/>
      <c r="M66" s="8"/>
      <c r="N66" s="8"/>
      <c r="O66" s="8"/>
      <c r="P66" s="8"/>
      <c r="Q66" s="8"/>
      <c r="R66" s="29">
        <f t="shared" si="11"/>
        <v>25000</v>
      </c>
    </row>
    <row r="67" spans="1:18" x14ac:dyDescent="0.25">
      <c r="C67" t="s">
        <v>37</v>
      </c>
      <c r="D67" s="7">
        <f t="shared" si="18"/>
        <v>651161.25</v>
      </c>
      <c r="E67" s="107">
        <f t="shared" si="13"/>
        <v>651161.25</v>
      </c>
      <c r="F67" s="96"/>
      <c r="G67" s="28"/>
      <c r="H67" s="28"/>
      <c r="I67" s="28"/>
      <c r="J67" s="41"/>
      <c r="K67" s="8">
        <v>6356.8499999999995</v>
      </c>
      <c r="L67" s="8">
        <v>494467.64999999997</v>
      </c>
      <c r="M67" s="8">
        <v>150336.75</v>
      </c>
      <c r="N67" s="8"/>
      <c r="O67" s="8"/>
      <c r="P67" s="8"/>
      <c r="Q67" s="8"/>
      <c r="R67" s="29">
        <f t="shared" si="11"/>
        <v>651161.25</v>
      </c>
    </row>
    <row r="68" spans="1:18" x14ac:dyDescent="0.25">
      <c r="C68" t="s">
        <v>23</v>
      </c>
      <c r="D68" s="7">
        <f t="shared" si="18"/>
        <v>3255806.25</v>
      </c>
      <c r="E68" s="107">
        <f t="shared" si="13"/>
        <v>3255806.25</v>
      </c>
      <c r="F68" s="96"/>
      <c r="G68" s="28"/>
      <c r="H68" s="28"/>
      <c r="I68" s="28"/>
      <c r="J68" s="41"/>
      <c r="K68" s="62">
        <f>42379-K67-K69</f>
        <v>31784.25</v>
      </c>
      <c r="L68" s="62">
        <f>3296451-L67-L69</f>
        <v>2472338.25</v>
      </c>
      <c r="M68" s="62">
        <f>1002245-M67-M69</f>
        <v>751683.75</v>
      </c>
      <c r="N68" s="8"/>
      <c r="O68" s="8"/>
      <c r="P68" s="8"/>
      <c r="Q68" s="8"/>
      <c r="R68" s="29">
        <f t="shared" si="11"/>
        <v>3255806.25</v>
      </c>
    </row>
    <row r="69" spans="1:18" x14ac:dyDescent="0.25">
      <c r="C69" t="s">
        <v>39</v>
      </c>
      <c r="D69" s="7">
        <f t="shared" si="18"/>
        <v>434107.50000000006</v>
      </c>
      <c r="E69" s="107">
        <f t="shared" si="13"/>
        <v>434107.50000000006</v>
      </c>
      <c r="F69" s="96"/>
      <c r="G69" s="28"/>
      <c r="H69" s="28"/>
      <c r="I69" s="28"/>
      <c r="J69" s="41"/>
      <c r="K69" s="8">
        <v>4237.9000000000005</v>
      </c>
      <c r="L69" s="8">
        <v>329645.10000000003</v>
      </c>
      <c r="M69" s="8">
        <v>100224.5</v>
      </c>
      <c r="N69" s="8"/>
      <c r="O69" s="8"/>
      <c r="P69" s="8"/>
      <c r="Q69" s="8"/>
      <c r="R69" s="29">
        <f t="shared" si="11"/>
        <v>434107.50000000006</v>
      </c>
    </row>
    <row r="70" spans="1:18" x14ac:dyDescent="0.25">
      <c r="D70" s="7"/>
      <c r="E70" s="107"/>
      <c r="F70" s="96"/>
      <c r="G70" s="28"/>
      <c r="H70" s="28"/>
      <c r="I70" s="28"/>
      <c r="J70" s="41"/>
      <c r="K70" s="8"/>
      <c r="L70" s="8"/>
      <c r="M70" s="8"/>
      <c r="N70" s="8"/>
      <c r="O70" s="8"/>
      <c r="P70" s="8"/>
      <c r="Q70" s="8"/>
      <c r="R70" s="29">
        <f t="shared" si="11"/>
        <v>0</v>
      </c>
    </row>
    <row r="71" spans="1:18" x14ac:dyDescent="0.25">
      <c r="D71" s="7"/>
      <c r="E71" s="107"/>
      <c r="F71" s="96"/>
      <c r="G71" s="28"/>
      <c r="H71" s="28"/>
      <c r="I71" s="28"/>
      <c r="J71" s="41"/>
      <c r="K71" s="8"/>
      <c r="L71" s="8"/>
      <c r="M71" s="8"/>
      <c r="N71" s="8"/>
      <c r="O71" s="8"/>
      <c r="P71" s="8"/>
      <c r="Q71" s="8"/>
      <c r="R71" s="29">
        <f t="shared" si="11"/>
        <v>0</v>
      </c>
    </row>
    <row r="72" spans="1:18" x14ac:dyDescent="0.25">
      <c r="D72" s="7"/>
      <c r="E72" s="107"/>
      <c r="F72" s="96"/>
      <c r="G72" s="28"/>
      <c r="H72" s="28"/>
      <c r="I72" s="28"/>
      <c r="J72" s="41"/>
      <c r="K72" s="8"/>
      <c r="L72" s="8"/>
      <c r="M72" s="8"/>
      <c r="N72" s="8"/>
      <c r="O72" s="8"/>
      <c r="P72" s="8"/>
      <c r="Q72" s="8"/>
      <c r="R72" s="29">
        <f t="shared" si="11"/>
        <v>0</v>
      </c>
    </row>
    <row r="73" spans="1:18" x14ac:dyDescent="0.25">
      <c r="D73" s="17"/>
      <c r="E73" s="17"/>
      <c r="F73" s="78"/>
      <c r="G73" s="28"/>
      <c r="H73" s="28"/>
      <c r="I73" s="28"/>
      <c r="J73" s="41"/>
      <c r="K73" s="8"/>
      <c r="L73" s="8"/>
      <c r="M73" s="8"/>
      <c r="N73" s="8"/>
      <c r="O73" s="8"/>
      <c r="P73" s="8"/>
      <c r="Q73" s="8"/>
      <c r="R73" s="29">
        <f>SUM(G73:Q73)</f>
        <v>0</v>
      </c>
    </row>
    <row r="74" spans="1:18" ht="15.75" thickBot="1" x14ac:dyDescent="0.3">
      <c r="A74" s="15" t="s">
        <v>31</v>
      </c>
      <c r="B74" s="15"/>
      <c r="C74" s="15"/>
      <c r="D74" s="19">
        <f>D63+D54+D45</f>
        <v>52664893</v>
      </c>
      <c r="E74" s="19">
        <f>E63+E54+E45</f>
        <v>61743497.850000001</v>
      </c>
      <c r="F74" s="19">
        <f>F63+F54+F45</f>
        <v>420205.14000000007</v>
      </c>
      <c r="G74" s="19">
        <f t="shared" ref="G74:Q74" si="24">G63+G54+G45</f>
        <v>1678064</v>
      </c>
      <c r="H74" s="19">
        <f t="shared" si="24"/>
        <v>1129430.0699999998</v>
      </c>
      <c r="I74" s="19">
        <f t="shared" si="24"/>
        <v>2086178.6400000001</v>
      </c>
      <c r="J74" s="106">
        <f t="shared" si="24"/>
        <v>3764727</v>
      </c>
      <c r="K74" s="19">
        <f t="shared" si="24"/>
        <v>2396216</v>
      </c>
      <c r="L74" s="19">
        <f t="shared" si="24"/>
        <v>13089950</v>
      </c>
      <c r="M74" s="19">
        <f t="shared" si="24"/>
        <v>22510817</v>
      </c>
      <c r="N74" s="19">
        <f t="shared" si="24"/>
        <v>13210352</v>
      </c>
      <c r="O74" s="19">
        <f t="shared" si="24"/>
        <v>1084884</v>
      </c>
      <c r="P74" s="19">
        <f t="shared" si="24"/>
        <v>372674</v>
      </c>
      <c r="Q74" s="19">
        <f t="shared" si="24"/>
        <v>0</v>
      </c>
      <c r="R74" s="30">
        <f>SUM(G74:Q74)</f>
        <v>61323292.710000001</v>
      </c>
    </row>
    <row r="75" spans="1:18" ht="15.75" thickTop="1" x14ac:dyDescent="0.25">
      <c r="A75" t="s">
        <v>32</v>
      </c>
      <c r="D75" s="17">
        <f t="shared" ref="D75:Q75" si="25">D38-D74</f>
        <v>0</v>
      </c>
      <c r="E75" s="17">
        <f t="shared" si="25"/>
        <v>0</v>
      </c>
      <c r="F75" s="17">
        <f t="shared" si="25"/>
        <v>0</v>
      </c>
      <c r="G75" s="17">
        <f t="shared" si="25"/>
        <v>0</v>
      </c>
      <c r="H75" s="17">
        <f t="shared" si="25"/>
        <v>0</v>
      </c>
      <c r="I75" s="17">
        <f t="shared" si="25"/>
        <v>0</v>
      </c>
      <c r="J75" s="80">
        <f t="shared" si="25"/>
        <v>0</v>
      </c>
      <c r="K75" s="17">
        <f t="shared" si="25"/>
        <v>0</v>
      </c>
      <c r="L75" s="17">
        <f t="shared" si="25"/>
        <v>0</v>
      </c>
      <c r="M75" s="17">
        <f t="shared" si="25"/>
        <v>0</v>
      </c>
      <c r="N75" s="17">
        <f t="shared" si="25"/>
        <v>0</v>
      </c>
      <c r="O75" s="17">
        <f t="shared" si="25"/>
        <v>0</v>
      </c>
      <c r="P75" s="17">
        <f t="shared" si="25"/>
        <v>0</v>
      </c>
      <c r="Q75" s="17">
        <f t="shared" si="25"/>
        <v>0</v>
      </c>
      <c r="R75" s="29">
        <f>SUM(G75:Q75)</f>
        <v>0</v>
      </c>
    </row>
    <row r="76" spans="1:18" x14ac:dyDescent="0.25">
      <c r="D76" s="17">
        <v>52616493</v>
      </c>
      <c r="E76" s="17">
        <v>61783152</v>
      </c>
      <c r="F76" s="32"/>
      <c r="I76" s="62">
        <f>SUM(H63:J63)</f>
        <v>652905</v>
      </c>
    </row>
    <row r="77" spans="1:18" x14ac:dyDescent="0.25">
      <c r="D77" s="17">
        <f>+D74-D76</f>
        <v>48400</v>
      </c>
      <c r="E77" s="17">
        <f>+E74-E76</f>
        <v>-39654.14999999851</v>
      </c>
      <c r="F77" s="32"/>
    </row>
    <row r="78" spans="1:18" x14ac:dyDescent="0.25">
      <c r="D78" s="17" t="s">
        <v>72</v>
      </c>
      <c r="E78" s="17"/>
      <c r="F78" s="32"/>
      <c r="G78" s="62">
        <f>D33</f>
        <v>21000000</v>
      </c>
    </row>
    <row r="79" spans="1:18" x14ac:dyDescent="0.25">
      <c r="D79" s="17" t="s">
        <v>85</v>
      </c>
      <c r="E79" s="17"/>
      <c r="F79" s="32"/>
      <c r="G79" s="62">
        <f>D30+D19</f>
        <v>31664893</v>
      </c>
    </row>
    <row r="80" spans="1:18" x14ac:dyDescent="0.25">
      <c r="D80" s="17" t="s">
        <v>84</v>
      </c>
      <c r="E80" s="13"/>
      <c r="G80" s="62">
        <f>D32</f>
        <v>0</v>
      </c>
    </row>
    <row r="81" spans="3:18" x14ac:dyDescent="0.25">
      <c r="D81" s="13"/>
      <c r="E81" s="13"/>
    </row>
    <row r="82" spans="3:18" x14ac:dyDescent="0.25">
      <c r="C82" t="s">
        <v>153</v>
      </c>
      <c r="D82" s="13"/>
      <c r="E82" s="13"/>
    </row>
    <row r="83" spans="3:18" ht="15.75" thickBot="1" x14ac:dyDescent="0.3">
      <c r="D83" s="13"/>
      <c r="E83" s="13"/>
      <c r="G83" s="38" t="s">
        <v>151</v>
      </c>
      <c r="H83" s="38">
        <v>2018</v>
      </c>
      <c r="I83" s="38">
        <v>2019</v>
      </c>
      <c r="J83" s="38">
        <v>2020</v>
      </c>
      <c r="K83" s="38">
        <v>2021</v>
      </c>
      <c r="L83" s="38">
        <v>2022</v>
      </c>
      <c r="M83" s="38">
        <v>2023</v>
      </c>
      <c r="N83" s="38">
        <v>2024</v>
      </c>
      <c r="O83" s="38">
        <v>2025</v>
      </c>
      <c r="P83" s="38">
        <v>2026</v>
      </c>
      <c r="Q83" s="38">
        <v>2027</v>
      </c>
      <c r="R83" s="38">
        <v>2028</v>
      </c>
    </row>
    <row r="84" spans="3:18" ht="15.75" thickBot="1" x14ac:dyDescent="0.3">
      <c r="D84" s="14"/>
      <c r="E84" s="14"/>
      <c r="F84" s="49" t="s">
        <v>46</v>
      </c>
      <c r="G84" s="50"/>
      <c r="H84" s="50">
        <v>163576</v>
      </c>
      <c r="I84" s="50">
        <v>168669</v>
      </c>
      <c r="J84" s="50">
        <v>342938</v>
      </c>
      <c r="K84" s="50">
        <v>282884</v>
      </c>
      <c r="L84" s="50">
        <v>492149</v>
      </c>
      <c r="M84" s="50">
        <v>980426</v>
      </c>
      <c r="N84" s="50">
        <v>35433</v>
      </c>
      <c r="O84" s="50">
        <v>0</v>
      </c>
      <c r="P84">
        <v>0</v>
      </c>
      <c r="Q84">
        <v>0</v>
      </c>
    </row>
    <row r="85" spans="3:18" ht="15.75" thickBot="1" x14ac:dyDescent="0.3">
      <c r="D85" s="14"/>
      <c r="E85" s="14"/>
      <c r="F85" s="51" t="s">
        <v>47</v>
      </c>
      <c r="G85" s="50">
        <v>0</v>
      </c>
      <c r="H85" s="50">
        <v>0</v>
      </c>
      <c r="I85" s="50">
        <v>0</v>
      </c>
      <c r="J85" s="50">
        <v>47202</v>
      </c>
      <c r="K85" s="50">
        <v>81134</v>
      </c>
      <c r="L85" s="50">
        <v>43997</v>
      </c>
      <c r="M85" s="50">
        <v>486000</v>
      </c>
      <c r="N85" s="50">
        <v>816667</v>
      </c>
      <c r="O85" s="50">
        <v>0</v>
      </c>
      <c r="P85">
        <v>0</v>
      </c>
      <c r="Q85">
        <v>0</v>
      </c>
    </row>
    <row r="86" spans="3:18" ht="15.75" thickBot="1" x14ac:dyDescent="0.3">
      <c r="D86" s="14"/>
      <c r="E86" s="14"/>
      <c r="F86" s="51" t="s">
        <v>48</v>
      </c>
      <c r="G86" s="50">
        <v>0</v>
      </c>
      <c r="H86" s="50">
        <v>0</v>
      </c>
      <c r="I86" s="50">
        <v>0</v>
      </c>
      <c r="J86" s="50">
        <v>0</v>
      </c>
      <c r="K86" s="50">
        <v>120000</v>
      </c>
      <c r="L86" s="50">
        <v>311670</v>
      </c>
      <c r="M86" s="50">
        <v>2781073</v>
      </c>
      <c r="N86" s="50">
        <v>5656472</v>
      </c>
      <c r="O86" s="50">
        <v>3732152</v>
      </c>
      <c r="P86">
        <v>1084884</v>
      </c>
      <c r="Q86">
        <v>372674</v>
      </c>
    </row>
    <row r="87" spans="3:18" x14ac:dyDescent="0.25">
      <c r="D87" s="14"/>
      <c r="E87" s="14"/>
    </row>
    <row r="88" spans="3:18" x14ac:dyDescent="0.25">
      <c r="F88" s="52" t="s">
        <v>49</v>
      </c>
      <c r="G88" s="50">
        <f>SUM(G84:G87)</f>
        <v>0</v>
      </c>
      <c r="H88" s="50">
        <f t="shared" ref="H88:Q88" si="26">SUM(H84:H87)</f>
        <v>163576</v>
      </c>
      <c r="I88" s="50">
        <f t="shared" si="26"/>
        <v>168669</v>
      </c>
      <c r="J88" s="50">
        <f t="shared" si="26"/>
        <v>390140</v>
      </c>
      <c r="K88" s="50">
        <f t="shared" si="26"/>
        <v>484018</v>
      </c>
      <c r="L88" s="50">
        <f t="shared" si="26"/>
        <v>847816</v>
      </c>
      <c r="M88" s="50">
        <f t="shared" si="26"/>
        <v>4247499</v>
      </c>
      <c r="N88" s="50">
        <f t="shared" si="26"/>
        <v>6508572</v>
      </c>
      <c r="O88" s="50">
        <f t="shared" si="26"/>
        <v>3732152</v>
      </c>
      <c r="P88" s="50">
        <f t="shared" si="26"/>
        <v>1084884</v>
      </c>
      <c r="Q88" s="50">
        <f t="shared" si="26"/>
        <v>372674</v>
      </c>
    </row>
    <row r="90" spans="3:18" x14ac:dyDescent="0.25">
      <c r="C90" t="s">
        <v>154</v>
      </c>
      <c r="D90" s="13"/>
      <c r="E90" s="13"/>
    </row>
    <row r="91" spans="3:18" ht="15.75" thickBot="1" x14ac:dyDescent="0.3">
      <c r="D91" s="13"/>
      <c r="E91" s="13"/>
    </row>
    <row r="92" spans="3:18" ht="15.75" thickBot="1" x14ac:dyDescent="0.3">
      <c r="D92" s="14"/>
      <c r="E92" s="14"/>
      <c r="F92" s="49" t="s">
        <v>46</v>
      </c>
      <c r="I92">
        <v>3031</v>
      </c>
      <c r="J92">
        <v>276959</v>
      </c>
      <c r="K92">
        <v>347915</v>
      </c>
      <c r="L92">
        <v>6021</v>
      </c>
    </row>
    <row r="93" spans="3:18" ht="15.75" thickBot="1" x14ac:dyDescent="0.3">
      <c r="D93" s="14"/>
      <c r="E93" s="14"/>
      <c r="F93" s="51" t="s">
        <v>47</v>
      </c>
      <c r="K93">
        <v>25000</v>
      </c>
    </row>
    <row r="94" spans="3:18" ht="15.75" thickBot="1" x14ac:dyDescent="0.3">
      <c r="D94" s="14"/>
      <c r="E94" s="14"/>
      <c r="F94" s="51" t="s">
        <v>48</v>
      </c>
      <c r="L94">
        <v>42379</v>
      </c>
      <c r="M94">
        <v>3296451</v>
      </c>
      <c r="N94">
        <v>1002245</v>
      </c>
    </row>
    <row r="95" spans="3:18" x14ac:dyDescent="0.25">
      <c r="D95" s="14"/>
      <c r="E95" s="14"/>
    </row>
    <row r="96" spans="3:18" x14ac:dyDescent="0.25">
      <c r="F96" s="52" t="s">
        <v>49</v>
      </c>
      <c r="G96">
        <f>SUM(G92:G94)</f>
        <v>0</v>
      </c>
      <c r="H96">
        <f t="shared" ref="H96:R96" si="27">SUM(H92:H94)</f>
        <v>0</v>
      </c>
      <c r="I96">
        <f t="shared" si="27"/>
        <v>3031</v>
      </c>
      <c r="J96">
        <f t="shared" si="27"/>
        <v>276959</v>
      </c>
      <c r="K96">
        <f t="shared" si="27"/>
        <v>372915</v>
      </c>
      <c r="L96">
        <f t="shared" si="27"/>
        <v>48400</v>
      </c>
      <c r="M96">
        <f t="shared" si="27"/>
        <v>3296451</v>
      </c>
      <c r="N96">
        <f t="shared" si="27"/>
        <v>1002245</v>
      </c>
      <c r="O96">
        <f t="shared" si="27"/>
        <v>0</v>
      </c>
      <c r="P96">
        <f t="shared" si="27"/>
        <v>0</v>
      </c>
      <c r="Q96">
        <f t="shared" si="27"/>
        <v>0</v>
      </c>
      <c r="R96">
        <f t="shared" si="27"/>
        <v>0</v>
      </c>
    </row>
    <row r="98" spans="3:18" x14ac:dyDescent="0.25">
      <c r="C98" t="s">
        <v>155</v>
      </c>
      <c r="G98" s="38" t="s">
        <v>151</v>
      </c>
      <c r="H98" s="38">
        <v>2018</v>
      </c>
      <c r="I98" s="38">
        <v>2019</v>
      </c>
      <c r="J98" s="38">
        <v>2020</v>
      </c>
      <c r="K98" s="38">
        <v>2021</v>
      </c>
      <c r="L98" s="38">
        <v>2022</v>
      </c>
      <c r="M98" s="38">
        <v>2023</v>
      </c>
      <c r="N98" s="38">
        <v>2024</v>
      </c>
      <c r="O98" s="38">
        <v>2025</v>
      </c>
      <c r="P98" s="38">
        <v>2026</v>
      </c>
      <c r="Q98" s="38">
        <v>2027</v>
      </c>
      <c r="R98" s="38">
        <v>2028</v>
      </c>
    </row>
    <row r="99" spans="3:18" ht="15.75" thickBot="1" x14ac:dyDescent="0.3">
      <c r="C99" t="s">
        <v>14</v>
      </c>
    </row>
    <row r="100" spans="3:18" ht="15.75" thickBot="1" x14ac:dyDescent="0.3">
      <c r="F100" s="49" t="s">
        <v>46</v>
      </c>
      <c r="G100" s="177">
        <f>197230-I100-H100</f>
        <v>148891.71000000002</v>
      </c>
      <c r="H100" s="177">
        <v>26248.080000000002</v>
      </c>
      <c r="I100" s="177">
        <v>22090.21</v>
      </c>
    </row>
    <row r="101" spans="3:18" ht="15.75" thickBot="1" x14ac:dyDescent="0.3">
      <c r="F101" s="51" t="s">
        <v>47</v>
      </c>
      <c r="G101" s="177">
        <v>48830.83</v>
      </c>
      <c r="H101" s="177">
        <v>46669.67</v>
      </c>
      <c r="I101" s="177">
        <v>678449.86</v>
      </c>
      <c r="J101" s="178">
        <f>1673161+199179-I101-H101-G101</f>
        <v>1098389.6400000001</v>
      </c>
    </row>
    <row r="102" spans="3:18" ht="15.75" thickBot="1" x14ac:dyDescent="0.3">
      <c r="F102" s="51" t="s">
        <v>48</v>
      </c>
      <c r="K102">
        <v>770000</v>
      </c>
    </row>
    <row r="104" spans="3:18" x14ac:dyDescent="0.25">
      <c r="F104" s="52" t="s">
        <v>49</v>
      </c>
      <c r="G104" s="177">
        <f>SUM(G100:G102)</f>
        <v>197722.54000000004</v>
      </c>
      <c r="H104" s="177">
        <f t="shared" ref="H104:N104" si="28">SUM(H100:H102)</f>
        <v>72917.75</v>
      </c>
      <c r="I104" s="177">
        <f t="shared" si="28"/>
        <v>700540.07</v>
      </c>
      <c r="J104" s="177">
        <f t="shared" si="28"/>
        <v>1098389.6400000001</v>
      </c>
      <c r="K104" s="177">
        <f t="shared" si="28"/>
        <v>770000</v>
      </c>
      <c r="L104" s="177">
        <f t="shared" si="28"/>
        <v>0</v>
      </c>
      <c r="M104" s="177">
        <f t="shared" si="28"/>
        <v>0</v>
      </c>
      <c r="N104" s="177">
        <f t="shared" si="28"/>
        <v>0</v>
      </c>
    </row>
    <row r="105" spans="3:18" x14ac:dyDescent="0.25">
      <c r="C105" t="s">
        <v>156</v>
      </c>
    </row>
    <row r="106" spans="3:18" ht="15.75" thickBot="1" x14ac:dyDescent="0.3">
      <c r="C106" t="s">
        <v>14</v>
      </c>
    </row>
    <row r="107" spans="3:18" ht="15.75" thickBot="1" x14ac:dyDescent="0.3">
      <c r="F107" s="49" t="s">
        <v>46</v>
      </c>
      <c r="G107" s="177">
        <v>95.6</v>
      </c>
      <c r="H107" s="177">
        <v>121.25</v>
      </c>
      <c r="I107" s="177">
        <v>60000</v>
      </c>
      <c r="J107" s="178">
        <v>23190</v>
      </c>
    </row>
    <row r="108" spans="3:18" ht="15.75" thickBot="1" x14ac:dyDescent="0.3">
      <c r="F108" s="51" t="s">
        <v>47</v>
      </c>
      <c r="J108">
        <v>168000</v>
      </c>
    </row>
    <row r="109" spans="3:18" ht="15.75" thickBot="1" x14ac:dyDescent="0.3">
      <c r="F109" s="51" t="s">
        <v>48</v>
      </c>
      <c r="K109">
        <f>582334+55460</f>
        <v>637794</v>
      </c>
    </row>
    <row r="110" spans="3:18" x14ac:dyDescent="0.25">
      <c r="F110" s="52"/>
    </row>
    <row r="111" spans="3:18" x14ac:dyDescent="0.25">
      <c r="F111" s="52" t="s">
        <v>49</v>
      </c>
      <c r="G111" s="177">
        <f t="shared" ref="G111:N111" si="29">SUM(G107:G109)</f>
        <v>95.6</v>
      </c>
      <c r="H111" s="177">
        <f t="shared" si="29"/>
        <v>121.25</v>
      </c>
      <c r="I111" s="177">
        <f t="shared" si="29"/>
        <v>60000</v>
      </c>
      <c r="J111" s="177">
        <f t="shared" si="29"/>
        <v>191190</v>
      </c>
      <c r="K111" s="177">
        <f t="shared" si="29"/>
        <v>637794</v>
      </c>
      <c r="L111" s="177">
        <f t="shared" si="29"/>
        <v>0</v>
      </c>
      <c r="M111" s="177">
        <f t="shared" si="29"/>
        <v>0</v>
      </c>
      <c r="N111" s="177">
        <f t="shared" si="29"/>
        <v>0</v>
      </c>
    </row>
    <row r="112" spans="3:18" x14ac:dyDescent="0.25">
      <c r="F112" s="52"/>
    </row>
    <row r="113" spans="3:19" x14ac:dyDescent="0.25">
      <c r="F113" s="52"/>
    </row>
    <row r="114" spans="3:19" ht="15.75" thickBot="1" x14ac:dyDescent="0.3">
      <c r="C114" t="s">
        <v>157</v>
      </c>
    </row>
    <row r="115" spans="3:19" ht="15.75" thickBot="1" x14ac:dyDescent="0.3">
      <c r="C115" t="s">
        <v>152</v>
      </c>
      <c r="F115" s="49" t="s">
        <v>46</v>
      </c>
      <c r="G115" s="8">
        <f>100000+80000</f>
        <v>180000</v>
      </c>
      <c r="H115" s="8"/>
      <c r="I115" s="8">
        <f>90304+93889+10556</f>
        <v>194749</v>
      </c>
      <c r="J115" s="8">
        <f>113693-90304+200000-93889</f>
        <v>129500</v>
      </c>
      <c r="K115" s="8">
        <v>1500000</v>
      </c>
      <c r="L115" s="8">
        <v>1500000</v>
      </c>
      <c r="M115" s="8">
        <v>546000</v>
      </c>
      <c r="N115" s="8"/>
      <c r="O115" s="8"/>
    </row>
    <row r="116" spans="3:19" ht="15.75" thickBot="1" x14ac:dyDescent="0.3">
      <c r="F116" s="51" t="s">
        <v>158</v>
      </c>
      <c r="G116" s="8"/>
      <c r="H116" s="8"/>
      <c r="I116" s="8"/>
      <c r="J116" s="8"/>
      <c r="K116" s="8"/>
      <c r="L116" s="8"/>
      <c r="M116" s="8"/>
      <c r="N116" s="8"/>
      <c r="O116" s="8"/>
    </row>
    <row r="117" spans="3:19" ht="15.75" thickBot="1" x14ac:dyDescent="0.3">
      <c r="F117" s="51" t="s">
        <v>47</v>
      </c>
      <c r="G117" s="8"/>
      <c r="H117" s="8">
        <v>1250000</v>
      </c>
      <c r="I117" s="8"/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/>
    </row>
    <row r="118" spans="3:19" ht="15.75" thickBot="1" x14ac:dyDescent="0.3">
      <c r="F118" s="51" t="s">
        <v>48</v>
      </c>
      <c r="G118" s="8"/>
      <c r="H118" s="8"/>
      <c r="I118" s="8"/>
      <c r="J118" s="8"/>
      <c r="K118" s="8"/>
      <c r="L118" s="8"/>
      <c r="M118" s="131">
        <v>5000000</v>
      </c>
      <c r="N118" s="8">
        <v>15000000</v>
      </c>
      <c r="O118" s="8">
        <v>9478200</v>
      </c>
    </row>
    <row r="120" spans="3:19" x14ac:dyDescent="0.25">
      <c r="F120" s="52" t="s">
        <v>49</v>
      </c>
      <c r="G120" s="179">
        <f t="shared" ref="G120:N120" si="30">SUM(G115:G118)</f>
        <v>180000</v>
      </c>
      <c r="H120" s="179">
        <f t="shared" si="30"/>
        <v>1250000</v>
      </c>
      <c r="I120" s="179">
        <f t="shared" si="30"/>
        <v>194749</v>
      </c>
      <c r="J120" s="179">
        <f t="shared" si="30"/>
        <v>129500</v>
      </c>
      <c r="K120" s="179">
        <f t="shared" si="30"/>
        <v>1500000</v>
      </c>
      <c r="L120" s="179">
        <f t="shared" si="30"/>
        <v>1500000</v>
      </c>
      <c r="M120" s="179">
        <f t="shared" si="30"/>
        <v>5546000</v>
      </c>
      <c r="N120" s="179">
        <f t="shared" si="30"/>
        <v>15000000</v>
      </c>
      <c r="O120" s="179"/>
      <c r="P120" s="179"/>
      <c r="Q120" s="179"/>
      <c r="R120" s="179"/>
      <c r="S120" s="179"/>
    </row>
    <row r="296" spans="12:23" x14ac:dyDescent="0.25">
      <c r="W296" t="s">
        <v>204</v>
      </c>
    </row>
    <row r="303" spans="12:23" x14ac:dyDescent="0.25">
      <c r="L303" t="s">
        <v>205</v>
      </c>
    </row>
    <row r="304" spans="12:23" x14ac:dyDescent="0.25">
      <c r="L304" s="198">
        <v>0.1</v>
      </c>
      <c r="M304" t="s">
        <v>206</v>
      </c>
      <c r="N304" s="8">
        <v>2149000</v>
      </c>
    </row>
    <row r="305" spans="13:15" x14ac:dyDescent="0.25">
      <c r="M305" t="s">
        <v>207</v>
      </c>
      <c r="N305" s="63">
        <v>3002200</v>
      </c>
    </row>
    <row r="306" spans="13:15" x14ac:dyDescent="0.25">
      <c r="N306" s="8">
        <f>SUM(N304:N305)</f>
        <v>5151200</v>
      </c>
      <c r="O306" s="197">
        <f>+N306/(23639000)</f>
        <v>0.21791107914886418</v>
      </c>
    </row>
  </sheetData>
  <pageMargins left="0.7" right="0.7" top="0.75" bottom="0.75" header="0.3" footer="0.3"/>
  <pageSetup paperSize="17" scale="24" orientation="portrait" horizontalDpi="1200" verticalDpi="12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W201"/>
  <sheetViews>
    <sheetView zoomScale="80" zoomScaleNormal="80" workbookViewId="0"/>
  </sheetViews>
  <sheetFormatPr defaultRowHeight="15" x14ac:dyDescent="0.25"/>
  <cols>
    <col min="1" max="1" width="5.42578125" customWidth="1"/>
    <col min="2" max="2" width="5" customWidth="1"/>
    <col min="3" max="3" width="54.5703125" customWidth="1"/>
    <col min="4" max="5" width="14.42578125" customWidth="1"/>
    <col min="6" max="6" width="13.42578125" customWidth="1"/>
    <col min="7" max="7" width="18.5703125" customWidth="1"/>
    <col min="8" max="8" width="12.42578125" customWidth="1"/>
    <col min="9" max="9" width="15.140625" customWidth="1"/>
    <col min="10" max="10" width="13.28515625" customWidth="1"/>
    <col min="11" max="11" width="16.85546875" customWidth="1"/>
    <col min="12" max="12" width="13.5703125" customWidth="1"/>
    <col min="13" max="13" width="15.5703125" customWidth="1"/>
    <col min="14" max="14" width="15.85546875" customWidth="1"/>
    <col min="15" max="15" width="19.85546875" customWidth="1"/>
    <col min="16" max="16" width="17.28515625" bestFit="1" customWidth="1"/>
    <col min="18" max="18" width="16.42578125" customWidth="1"/>
    <col min="19" max="19" width="15.140625" bestFit="1" customWidth="1"/>
    <col min="21" max="21" width="18.42578125" customWidth="1"/>
  </cols>
  <sheetData>
    <row r="1" spans="1:18" ht="18.75" x14ac:dyDescent="0.3">
      <c r="A1" s="75" t="s">
        <v>61</v>
      </c>
    </row>
    <row r="2" spans="1:18" x14ac:dyDescent="0.25">
      <c r="A2" t="s">
        <v>95</v>
      </c>
    </row>
    <row r="3" spans="1:18" x14ac:dyDescent="0.25">
      <c r="C3" t="s">
        <v>51</v>
      </c>
    </row>
    <row r="4" spans="1:18" x14ac:dyDescent="0.25">
      <c r="C4" t="s">
        <v>60</v>
      </c>
      <c r="D4" s="107"/>
      <c r="E4" s="107"/>
    </row>
    <row r="5" spans="1:18" x14ac:dyDescent="0.25">
      <c r="C5" t="s">
        <v>78</v>
      </c>
      <c r="D5" s="7"/>
      <c r="E5" s="7"/>
    </row>
    <row r="6" spans="1:18" x14ac:dyDescent="0.25">
      <c r="C6" t="s">
        <v>0</v>
      </c>
      <c r="D6" s="21"/>
      <c r="E6" s="21"/>
    </row>
    <row r="7" spans="1:18" x14ac:dyDescent="0.25">
      <c r="C7" t="s">
        <v>59</v>
      </c>
      <c r="D7" s="76"/>
      <c r="E7" s="76"/>
    </row>
    <row r="8" spans="1:18" x14ac:dyDescent="0.25">
      <c r="C8" t="s">
        <v>23</v>
      </c>
      <c r="D8" s="61"/>
      <c r="E8" s="61"/>
      <c r="H8" s="199"/>
      <c r="J8" s="119" t="s">
        <v>100</v>
      </c>
      <c r="K8" s="202" t="s">
        <v>99</v>
      </c>
      <c r="L8" s="43"/>
    </row>
    <row r="9" spans="1:18" ht="18.75" x14ac:dyDescent="0.3">
      <c r="A9" s="31" t="s">
        <v>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</row>
    <row r="10" spans="1:18" ht="30" x14ac:dyDescent="0.25">
      <c r="A10" s="4"/>
      <c r="B10" s="4"/>
      <c r="C10" s="4" t="s">
        <v>3</v>
      </c>
      <c r="D10" s="20" t="s">
        <v>80</v>
      </c>
      <c r="E10" s="20" t="s">
        <v>79</v>
      </c>
      <c r="F10" s="22">
        <v>2017</v>
      </c>
      <c r="G10" s="4">
        <v>2018</v>
      </c>
      <c r="H10" s="4">
        <v>2019</v>
      </c>
      <c r="I10" s="4">
        <v>2020</v>
      </c>
      <c r="J10" s="101">
        <v>2021</v>
      </c>
      <c r="K10" s="4">
        <v>2022</v>
      </c>
      <c r="L10" s="4">
        <v>2023</v>
      </c>
      <c r="M10" s="4">
        <v>2024</v>
      </c>
      <c r="N10" s="4">
        <v>2025</v>
      </c>
      <c r="O10" s="4">
        <v>2026</v>
      </c>
      <c r="P10" s="4">
        <v>2027</v>
      </c>
      <c r="Q10" s="4">
        <v>2028</v>
      </c>
      <c r="R10" s="22" t="s">
        <v>225</v>
      </c>
    </row>
    <row r="11" spans="1:18" x14ac:dyDescent="0.25">
      <c r="A11" s="3" t="s">
        <v>5</v>
      </c>
      <c r="B11" s="3"/>
      <c r="C11" s="3"/>
      <c r="D11" s="5"/>
      <c r="E11" s="108"/>
      <c r="F11" s="111"/>
      <c r="G11" s="112"/>
      <c r="H11" s="112"/>
      <c r="I11" s="93"/>
      <c r="J11" s="102"/>
      <c r="K11" s="6"/>
      <c r="L11" s="6"/>
      <c r="M11" s="6"/>
      <c r="N11" s="6"/>
      <c r="O11" s="6"/>
      <c r="P11" s="6"/>
      <c r="Q11" s="6"/>
      <c r="R11" s="29">
        <f>SUM(G11:Q11)</f>
        <v>0</v>
      </c>
    </row>
    <row r="12" spans="1:18" x14ac:dyDescent="0.25">
      <c r="A12" s="3"/>
      <c r="B12" s="3"/>
      <c r="C12" s="3" t="s">
        <v>6</v>
      </c>
      <c r="D12" s="7">
        <f t="shared" ref="D12:D17" si="0">E12-F12-G12-H12-I12-J12</f>
        <v>11000000</v>
      </c>
      <c r="E12" s="107">
        <f t="shared" ref="E12:E17" si="1">SUM(F12:Q12)</f>
        <v>13013071</v>
      </c>
      <c r="F12" s="96">
        <v>25000</v>
      </c>
      <c r="G12" s="28"/>
      <c r="H12" s="28">
        <f>H75-H30-H36</f>
        <v>288071</v>
      </c>
      <c r="I12" s="28">
        <f>I75-I30-I36-SUM(I13:I17)</f>
        <v>700000</v>
      </c>
      <c r="J12" s="54">
        <f>J75-J30-J36</f>
        <v>1000000</v>
      </c>
      <c r="K12" s="53">
        <v>3500000</v>
      </c>
      <c r="L12" s="53">
        <f>12000000-K12-J12</f>
        <v>7500000</v>
      </c>
      <c r="M12" s="28"/>
      <c r="N12" s="28"/>
      <c r="O12" s="28"/>
      <c r="P12" s="28">
        <f>P75-P30-P36</f>
        <v>0</v>
      </c>
      <c r="Q12" s="8"/>
      <c r="R12" s="29">
        <f t="shared" ref="R12:R38" si="2">SUM(G12:Q12)</f>
        <v>12988071</v>
      </c>
    </row>
    <row r="13" spans="1:18" x14ac:dyDescent="0.25">
      <c r="A13" s="3"/>
      <c r="B13" s="3"/>
      <c r="C13" s="3" t="s">
        <v>7</v>
      </c>
      <c r="D13" s="7">
        <f t="shared" si="0"/>
        <v>0</v>
      </c>
      <c r="E13" s="107">
        <f t="shared" si="1"/>
        <v>0</v>
      </c>
      <c r="F13" s="96"/>
      <c r="G13" s="28"/>
      <c r="H13" s="28"/>
      <c r="I13" s="28"/>
      <c r="J13" s="41"/>
      <c r="K13" s="8"/>
      <c r="L13" s="8"/>
      <c r="M13" s="8"/>
      <c r="N13" s="8"/>
      <c r="O13" s="8"/>
      <c r="P13" s="8"/>
      <c r="Q13" s="8"/>
      <c r="R13" s="29">
        <f t="shared" si="2"/>
        <v>0</v>
      </c>
    </row>
    <row r="14" spans="1:18" x14ac:dyDescent="0.25">
      <c r="A14" s="3"/>
      <c r="B14" s="3"/>
      <c r="C14" s="3" t="s">
        <v>16</v>
      </c>
      <c r="D14" s="7">
        <f t="shared" si="0"/>
        <v>0</v>
      </c>
      <c r="E14" s="107">
        <f t="shared" si="1"/>
        <v>570000</v>
      </c>
      <c r="F14" s="96">
        <v>570000</v>
      </c>
      <c r="G14" s="28"/>
      <c r="H14" s="28"/>
      <c r="I14" s="28"/>
      <c r="J14" s="41"/>
      <c r="K14" s="8"/>
      <c r="L14" s="8"/>
      <c r="M14" s="8"/>
      <c r="N14" s="8"/>
      <c r="O14" s="8"/>
      <c r="P14" s="8"/>
      <c r="Q14" s="8"/>
      <c r="R14" s="29">
        <f t="shared" si="2"/>
        <v>0</v>
      </c>
    </row>
    <row r="15" spans="1:18" x14ac:dyDescent="0.25">
      <c r="A15" s="3"/>
      <c r="B15" s="3"/>
      <c r="C15" s="3" t="s">
        <v>8</v>
      </c>
      <c r="D15" s="7">
        <f t="shared" si="0"/>
        <v>0</v>
      </c>
      <c r="E15" s="107">
        <f t="shared" si="1"/>
        <v>200000</v>
      </c>
      <c r="F15" s="96"/>
      <c r="G15" s="28"/>
      <c r="H15" s="28"/>
      <c r="I15" s="28">
        <v>200000</v>
      </c>
      <c r="J15" s="41"/>
      <c r="K15" s="8"/>
      <c r="L15" s="8"/>
      <c r="M15" s="8"/>
      <c r="N15" s="8"/>
      <c r="O15" s="8"/>
      <c r="P15" s="8"/>
      <c r="Q15" s="8"/>
      <c r="R15" s="29">
        <f t="shared" si="2"/>
        <v>200000</v>
      </c>
    </row>
    <row r="16" spans="1:18" x14ac:dyDescent="0.25">
      <c r="A16" s="3"/>
      <c r="B16" s="3"/>
      <c r="C16" s="3" t="s">
        <v>12</v>
      </c>
      <c r="D16" s="7">
        <f t="shared" si="0"/>
        <v>500000</v>
      </c>
      <c r="E16" s="107">
        <f t="shared" si="1"/>
        <v>500000</v>
      </c>
      <c r="F16" s="96"/>
      <c r="G16" s="28"/>
      <c r="H16" s="28"/>
      <c r="I16" s="28"/>
      <c r="J16" s="41"/>
      <c r="K16" s="8"/>
      <c r="L16" s="8"/>
      <c r="M16" s="8"/>
      <c r="N16" s="8">
        <v>500000</v>
      </c>
      <c r="O16" s="8"/>
      <c r="P16" s="8"/>
      <c r="Q16" s="8"/>
      <c r="R16" s="29">
        <f t="shared" si="2"/>
        <v>500000</v>
      </c>
    </row>
    <row r="17" spans="1:22" x14ac:dyDescent="0.25">
      <c r="A17" s="3"/>
      <c r="B17" s="3"/>
      <c r="C17" s="3" t="s">
        <v>41</v>
      </c>
      <c r="D17" s="7">
        <f t="shared" si="0"/>
        <v>0</v>
      </c>
      <c r="E17" s="107">
        <f t="shared" si="1"/>
        <v>0</v>
      </c>
      <c r="F17" s="96"/>
      <c r="G17" s="28"/>
      <c r="H17" s="28"/>
      <c r="I17" s="28"/>
      <c r="J17" s="41"/>
      <c r="K17" s="8"/>
      <c r="L17" s="8"/>
      <c r="M17" s="8"/>
      <c r="N17" s="8"/>
      <c r="O17" s="8"/>
      <c r="P17" s="8"/>
      <c r="Q17" s="8"/>
      <c r="R17" s="29"/>
    </row>
    <row r="18" spans="1:22" x14ac:dyDescent="0.25">
      <c r="A18" s="3"/>
      <c r="B18" s="3"/>
      <c r="C18" s="3"/>
      <c r="D18" s="9"/>
      <c r="E18" s="109"/>
      <c r="F18" s="97"/>
      <c r="G18" s="63"/>
      <c r="H18" s="63"/>
      <c r="I18" s="63"/>
      <c r="J18" s="64"/>
      <c r="K18" s="63"/>
      <c r="L18" s="63"/>
      <c r="M18" s="63"/>
      <c r="N18" s="63"/>
      <c r="O18" s="63"/>
      <c r="P18" s="63"/>
      <c r="Q18" s="64"/>
      <c r="R18" s="29">
        <f t="shared" si="2"/>
        <v>0</v>
      </c>
    </row>
    <row r="19" spans="1:22" x14ac:dyDescent="0.25">
      <c r="A19" s="3"/>
      <c r="B19" s="3" t="s">
        <v>19</v>
      </c>
      <c r="C19" s="3"/>
      <c r="D19" s="7">
        <f>SUM(D12:D18)</f>
        <v>11500000</v>
      </c>
      <c r="E19" s="107">
        <f>SUM(F19:Q19)</f>
        <v>14283071</v>
      </c>
      <c r="F19" s="96">
        <f>SUM(F12:F18)</f>
        <v>595000</v>
      </c>
      <c r="G19" s="27">
        <f t="shared" ref="G19:Q19" si="3">SUM(G12:G18)</f>
        <v>0</v>
      </c>
      <c r="H19" s="27">
        <f t="shared" si="3"/>
        <v>288071</v>
      </c>
      <c r="I19" s="27">
        <f t="shared" si="3"/>
        <v>900000</v>
      </c>
      <c r="J19" s="55">
        <f t="shared" si="3"/>
        <v>1000000</v>
      </c>
      <c r="K19" s="27">
        <f t="shared" si="3"/>
        <v>3500000</v>
      </c>
      <c r="L19" s="27">
        <f t="shared" si="3"/>
        <v>7500000</v>
      </c>
      <c r="M19" s="27">
        <f t="shared" si="3"/>
        <v>0</v>
      </c>
      <c r="N19" s="27">
        <f t="shared" si="3"/>
        <v>500000</v>
      </c>
      <c r="O19" s="27">
        <f t="shared" si="3"/>
        <v>0</v>
      </c>
      <c r="P19" s="27">
        <f t="shared" si="3"/>
        <v>0</v>
      </c>
      <c r="Q19" s="55">
        <f t="shared" si="3"/>
        <v>0</v>
      </c>
      <c r="R19" s="29">
        <f t="shared" si="2"/>
        <v>13688071</v>
      </c>
    </row>
    <row r="20" spans="1:22" x14ac:dyDescent="0.25">
      <c r="A20" s="3" t="s">
        <v>4</v>
      </c>
      <c r="B20" s="3"/>
      <c r="C20" s="3"/>
      <c r="D20" s="7"/>
      <c r="E20" s="107"/>
      <c r="F20" s="96"/>
      <c r="G20" s="53"/>
      <c r="H20" s="53"/>
      <c r="I20" s="53"/>
      <c r="J20" s="54"/>
      <c r="K20" s="53"/>
      <c r="L20" s="53"/>
      <c r="M20" s="53"/>
      <c r="N20" s="53"/>
      <c r="O20" s="53"/>
      <c r="P20" s="53"/>
      <c r="Q20" s="54"/>
      <c r="R20" s="29">
        <f t="shared" si="2"/>
        <v>0</v>
      </c>
    </row>
    <row r="21" spans="1:22" x14ac:dyDescent="0.25">
      <c r="A21" s="3"/>
      <c r="B21" s="3"/>
      <c r="C21" s="3" t="s">
        <v>10</v>
      </c>
      <c r="D21" s="7">
        <f>E21-F21-G21-H21-I21-J21</f>
        <v>0</v>
      </c>
      <c r="E21" s="107">
        <f>SUM(F21:Q21)</f>
        <v>0</v>
      </c>
      <c r="F21" s="96"/>
      <c r="G21" s="53"/>
      <c r="H21" s="53"/>
      <c r="I21" s="53"/>
      <c r="J21" s="54"/>
      <c r="K21" s="53"/>
      <c r="L21" s="53"/>
      <c r="M21" s="53"/>
      <c r="N21" s="53"/>
      <c r="O21" s="53"/>
      <c r="P21" s="53"/>
      <c r="Q21" s="54"/>
      <c r="R21" s="29">
        <f t="shared" si="2"/>
        <v>0</v>
      </c>
    </row>
    <row r="22" spans="1:22" x14ac:dyDescent="0.25">
      <c r="A22" s="3"/>
      <c r="B22" s="3"/>
      <c r="C22" s="3" t="s">
        <v>9</v>
      </c>
      <c r="D22" s="7">
        <f t="shared" ref="D22:D28" si="4">E22-F22-G22-H22-I22-J22</f>
        <v>0</v>
      </c>
      <c r="E22" s="107">
        <f t="shared" ref="E22:E28" si="5">SUM(F22:Q22)</f>
        <v>0</v>
      </c>
      <c r="F22" s="96"/>
      <c r="G22" s="53"/>
      <c r="H22" s="53"/>
      <c r="I22" s="53"/>
      <c r="J22" s="54"/>
      <c r="K22" s="53"/>
      <c r="L22" s="53"/>
      <c r="M22" s="53"/>
      <c r="N22" s="53"/>
      <c r="O22" s="53"/>
      <c r="P22" s="53"/>
      <c r="Q22" s="54"/>
      <c r="R22" s="29">
        <f t="shared" si="2"/>
        <v>0</v>
      </c>
    </row>
    <row r="23" spans="1:22" x14ac:dyDescent="0.25">
      <c r="A23" s="3"/>
      <c r="B23" s="3"/>
      <c r="C23" s="3" t="s">
        <v>101</v>
      </c>
      <c r="D23" s="7">
        <f t="shared" si="4"/>
        <v>23400000</v>
      </c>
      <c r="E23" s="107">
        <f t="shared" si="5"/>
        <v>23400000</v>
      </c>
      <c r="F23" s="96"/>
      <c r="G23" s="53"/>
      <c r="H23" s="53"/>
      <c r="I23" s="53"/>
      <c r="J23" s="54"/>
      <c r="K23" s="53"/>
      <c r="L23" s="53"/>
      <c r="M23" s="53">
        <v>7400000</v>
      </c>
      <c r="N23" s="53">
        <v>16000000</v>
      </c>
      <c r="O23" s="53"/>
      <c r="P23" s="53"/>
      <c r="Q23" s="54"/>
      <c r="R23" s="29"/>
      <c r="S23" s="70" t="s">
        <v>200</v>
      </c>
      <c r="T23" s="70"/>
      <c r="U23" s="70"/>
      <c r="V23" s="70"/>
    </row>
    <row r="24" spans="1:22" x14ac:dyDescent="0.25">
      <c r="A24" s="3"/>
      <c r="B24" s="3"/>
      <c r="C24" s="3" t="s">
        <v>35</v>
      </c>
      <c r="D24" s="7">
        <f t="shared" si="4"/>
        <v>0</v>
      </c>
      <c r="E24" s="107">
        <f t="shared" si="5"/>
        <v>0</v>
      </c>
      <c r="F24" s="96"/>
      <c r="G24" s="53"/>
      <c r="H24" s="53"/>
      <c r="I24" s="53"/>
      <c r="J24" s="54"/>
      <c r="K24" s="53"/>
      <c r="L24" s="53"/>
      <c r="M24" s="53"/>
      <c r="N24" s="53"/>
      <c r="O24" s="53"/>
      <c r="P24" s="53"/>
      <c r="Q24" s="54"/>
      <c r="R24" s="29">
        <f t="shared" si="2"/>
        <v>0</v>
      </c>
    </row>
    <row r="25" spans="1:22" x14ac:dyDescent="0.25">
      <c r="A25" s="3"/>
      <c r="B25" s="3"/>
      <c r="C25" s="3" t="s">
        <v>36</v>
      </c>
      <c r="D25" s="7">
        <f t="shared" si="4"/>
        <v>0</v>
      </c>
      <c r="E25" s="107">
        <f t="shared" si="5"/>
        <v>0</v>
      </c>
      <c r="F25" s="96"/>
      <c r="G25" s="53"/>
      <c r="H25" s="53"/>
      <c r="I25" s="53"/>
      <c r="J25" s="54"/>
      <c r="K25" s="53"/>
      <c r="L25" s="53"/>
      <c r="M25" s="53"/>
      <c r="N25" s="53"/>
      <c r="O25" s="53"/>
      <c r="P25" s="53"/>
      <c r="Q25" s="54"/>
      <c r="R25" s="29"/>
    </row>
    <row r="26" spans="1:22" x14ac:dyDescent="0.25">
      <c r="A26" s="3"/>
      <c r="B26" s="3"/>
      <c r="C26" s="3" t="s">
        <v>38</v>
      </c>
      <c r="D26" s="7">
        <f t="shared" si="4"/>
        <v>0</v>
      </c>
      <c r="E26" s="107">
        <f t="shared" si="5"/>
        <v>25000</v>
      </c>
      <c r="F26" s="96">
        <v>25000</v>
      </c>
      <c r="G26" s="53"/>
      <c r="H26" s="53"/>
      <c r="I26" s="53"/>
      <c r="J26" s="54"/>
      <c r="K26" s="53"/>
      <c r="L26" s="53"/>
      <c r="M26" s="53"/>
      <c r="N26" s="53"/>
      <c r="O26" s="53"/>
      <c r="P26" s="53"/>
      <c r="Q26" s="54"/>
      <c r="R26" s="29"/>
    </row>
    <row r="27" spans="1:22" x14ac:dyDescent="0.25">
      <c r="A27" s="3"/>
      <c r="B27" s="3"/>
      <c r="C27" s="3" t="s">
        <v>11</v>
      </c>
      <c r="D27" s="7">
        <f t="shared" si="4"/>
        <v>0</v>
      </c>
      <c r="E27" s="107">
        <f t="shared" si="5"/>
        <v>0</v>
      </c>
      <c r="F27" s="96"/>
      <c r="G27" s="53"/>
      <c r="H27" s="53"/>
      <c r="I27" s="53"/>
      <c r="J27" s="54"/>
      <c r="K27" s="53"/>
      <c r="L27" s="53"/>
      <c r="M27" s="53"/>
      <c r="N27" s="53"/>
      <c r="O27" s="53"/>
      <c r="P27" s="53"/>
      <c r="Q27" s="54"/>
      <c r="R27" s="29">
        <f t="shared" si="2"/>
        <v>0</v>
      </c>
    </row>
    <row r="28" spans="1:22" x14ac:dyDescent="0.25">
      <c r="A28" s="3"/>
      <c r="B28" s="3"/>
      <c r="C28" s="3" t="s">
        <v>107</v>
      </c>
      <c r="D28" s="7">
        <f t="shared" si="4"/>
        <v>0</v>
      </c>
      <c r="E28" s="107">
        <f t="shared" si="5"/>
        <v>400000</v>
      </c>
      <c r="F28" s="96"/>
      <c r="G28" s="53"/>
      <c r="H28" s="53">
        <v>400000</v>
      </c>
      <c r="I28" s="53"/>
      <c r="J28" s="54"/>
      <c r="K28" s="53"/>
      <c r="L28" s="53"/>
      <c r="M28" s="53"/>
      <c r="N28" s="53"/>
      <c r="O28" s="53"/>
      <c r="P28" s="53"/>
      <c r="Q28" s="54"/>
      <c r="R28" s="29"/>
    </row>
    <row r="29" spans="1:22" x14ac:dyDescent="0.25">
      <c r="A29" s="3"/>
      <c r="B29" s="3"/>
      <c r="C29" s="3"/>
      <c r="D29" s="9"/>
      <c r="E29" s="109"/>
      <c r="F29" s="97"/>
      <c r="G29" s="73"/>
      <c r="H29" s="73"/>
      <c r="I29" s="73"/>
      <c r="J29" s="74"/>
      <c r="K29" s="73"/>
      <c r="L29" s="73"/>
      <c r="M29" s="73"/>
      <c r="N29" s="73"/>
      <c r="O29" s="73"/>
      <c r="P29" s="73"/>
      <c r="Q29" s="74"/>
      <c r="R29" s="29">
        <f t="shared" si="2"/>
        <v>0</v>
      </c>
    </row>
    <row r="30" spans="1:22" x14ac:dyDescent="0.25">
      <c r="A30" s="3"/>
      <c r="B30" s="3" t="s">
        <v>17</v>
      </c>
      <c r="C30" s="3"/>
      <c r="D30" s="7">
        <f>SUM(D21:D29)</f>
        <v>23400000</v>
      </c>
      <c r="E30" s="107">
        <f>SUM(F30:Q30)</f>
        <v>23825000</v>
      </c>
      <c r="F30" s="96">
        <f>SUM(F21:F29)</f>
        <v>25000</v>
      </c>
      <c r="G30" s="27">
        <f t="shared" ref="G30:Q30" si="6">SUM(G21:G29)</f>
        <v>0</v>
      </c>
      <c r="H30" s="27">
        <f t="shared" si="6"/>
        <v>400000</v>
      </c>
      <c r="I30" s="27">
        <f t="shared" si="6"/>
        <v>0</v>
      </c>
      <c r="J30" s="55">
        <f t="shared" si="6"/>
        <v>0</v>
      </c>
      <c r="K30" s="27">
        <f t="shared" si="6"/>
        <v>0</v>
      </c>
      <c r="L30" s="27">
        <f t="shared" si="6"/>
        <v>0</v>
      </c>
      <c r="M30" s="27">
        <f t="shared" si="6"/>
        <v>7400000</v>
      </c>
      <c r="N30" s="27">
        <f t="shared" si="6"/>
        <v>16000000</v>
      </c>
      <c r="O30" s="27">
        <f t="shared" si="6"/>
        <v>0</v>
      </c>
      <c r="P30" s="27">
        <f t="shared" si="6"/>
        <v>0</v>
      </c>
      <c r="Q30" s="55">
        <f t="shared" si="6"/>
        <v>0</v>
      </c>
      <c r="R30" s="29">
        <f t="shared" si="2"/>
        <v>23800000</v>
      </c>
    </row>
    <row r="31" spans="1:22" x14ac:dyDescent="0.25">
      <c r="A31" s="3" t="s">
        <v>13</v>
      </c>
      <c r="B31" s="3"/>
      <c r="C31" s="3"/>
      <c r="D31" s="7"/>
      <c r="E31" s="107"/>
      <c r="F31" s="96"/>
      <c r="G31" s="53"/>
      <c r="H31" s="53"/>
      <c r="I31" s="53"/>
      <c r="J31" s="54"/>
      <c r="K31" s="53"/>
      <c r="L31" s="53"/>
      <c r="M31" s="53"/>
      <c r="N31" s="53"/>
      <c r="O31" s="53"/>
      <c r="P31" s="53"/>
      <c r="Q31" s="54"/>
      <c r="R31" s="29">
        <f t="shared" si="2"/>
        <v>0</v>
      </c>
    </row>
    <row r="32" spans="1:22" x14ac:dyDescent="0.25">
      <c r="A32" s="3"/>
      <c r="B32" s="3"/>
      <c r="C32" s="3" t="s">
        <v>14</v>
      </c>
      <c r="D32" s="7">
        <f>E32-F32-G32-H32-I32-J32</f>
        <v>0</v>
      </c>
      <c r="E32" s="107">
        <f>SUM(F32:Q32)</f>
        <v>0</v>
      </c>
      <c r="F32" s="96"/>
      <c r="G32" s="53"/>
      <c r="H32" s="53"/>
      <c r="I32" s="53"/>
      <c r="J32" s="54"/>
      <c r="K32" s="53"/>
      <c r="L32" s="53"/>
      <c r="M32" s="53"/>
      <c r="N32" s="53"/>
      <c r="O32" s="53"/>
      <c r="P32" s="53"/>
      <c r="Q32" s="54"/>
      <c r="R32" s="29">
        <f t="shared" si="2"/>
        <v>0</v>
      </c>
    </row>
    <row r="33" spans="1:18" x14ac:dyDescent="0.25">
      <c r="A33" s="3"/>
      <c r="B33" s="3"/>
      <c r="C33" s="3" t="s">
        <v>15</v>
      </c>
      <c r="D33" s="7">
        <f>E33-F33-G33-H33-I33-J33</f>
        <v>103049360</v>
      </c>
      <c r="E33" s="107">
        <f>SUM(F33:Q33)</f>
        <v>103049360</v>
      </c>
      <c r="F33" s="96"/>
      <c r="G33" s="53"/>
      <c r="H33" s="53"/>
      <c r="I33" s="53"/>
      <c r="J33" s="54"/>
      <c r="K33" s="53">
        <f>K75-K30-K19</f>
        <v>1277901</v>
      </c>
      <c r="L33" s="53">
        <f>L75-L30-L19</f>
        <v>12289400</v>
      </c>
      <c r="M33" s="53">
        <f>M75-M30-M19</f>
        <v>12754056</v>
      </c>
      <c r="N33" s="53">
        <f>N75-N30-N19</f>
        <v>39900000</v>
      </c>
      <c r="O33" s="53">
        <f>O75-O30-O19</f>
        <v>32255003</v>
      </c>
      <c r="P33" s="53">
        <f>P75</f>
        <v>4573000</v>
      </c>
      <c r="Q33" s="54"/>
      <c r="R33" s="29">
        <f t="shared" si="2"/>
        <v>103049360</v>
      </c>
    </row>
    <row r="34" spans="1:18" x14ac:dyDescent="0.25">
      <c r="A34" s="3"/>
      <c r="B34" s="3"/>
      <c r="C34" s="3"/>
      <c r="D34" s="7"/>
      <c r="E34" s="107"/>
      <c r="F34" s="96"/>
      <c r="G34" s="53"/>
      <c r="H34" s="53"/>
      <c r="I34" s="53"/>
      <c r="J34" s="54"/>
      <c r="K34" s="53"/>
      <c r="L34" s="53"/>
      <c r="M34" s="53"/>
      <c r="N34" s="53"/>
      <c r="O34" s="53"/>
      <c r="P34" s="53"/>
      <c r="Q34" s="54"/>
      <c r="R34" s="29">
        <f t="shared" si="2"/>
        <v>0</v>
      </c>
    </row>
    <row r="35" spans="1:18" x14ac:dyDescent="0.25">
      <c r="A35" s="3"/>
      <c r="B35" s="3"/>
      <c r="C35" s="3"/>
      <c r="D35" s="9"/>
      <c r="E35" s="109"/>
      <c r="F35" s="97"/>
      <c r="G35" s="73"/>
      <c r="H35" s="73"/>
      <c r="I35" s="73"/>
      <c r="J35" s="74"/>
      <c r="K35" s="73"/>
      <c r="L35" s="73"/>
      <c r="M35" s="73"/>
      <c r="N35" s="73"/>
      <c r="O35" s="73"/>
      <c r="P35" s="73"/>
      <c r="Q35" s="74"/>
      <c r="R35" s="29">
        <f t="shared" si="2"/>
        <v>0</v>
      </c>
    </row>
    <row r="36" spans="1:18" x14ac:dyDescent="0.25">
      <c r="A36" s="3"/>
      <c r="B36" s="3" t="s">
        <v>18</v>
      </c>
      <c r="C36" s="3"/>
      <c r="D36" s="7">
        <f>SUM(D32:D35)</f>
        <v>103049360</v>
      </c>
      <c r="E36" s="107">
        <f>SUM(E32:E35)</f>
        <v>103049360</v>
      </c>
      <c r="F36" s="96">
        <f>SUM(F32:F35)</f>
        <v>0</v>
      </c>
      <c r="G36" s="27">
        <f t="shared" ref="G36:Q36" si="7">SUM(G32:G35)</f>
        <v>0</v>
      </c>
      <c r="H36" s="27">
        <f t="shared" si="7"/>
        <v>0</v>
      </c>
      <c r="I36" s="27">
        <f t="shared" si="7"/>
        <v>0</v>
      </c>
      <c r="J36" s="55">
        <f t="shared" si="7"/>
        <v>0</v>
      </c>
      <c r="K36" s="27">
        <f t="shared" si="7"/>
        <v>1277901</v>
      </c>
      <c r="L36" s="27">
        <f t="shared" si="7"/>
        <v>12289400</v>
      </c>
      <c r="M36" s="27">
        <f t="shared" si="7"/>
        <v>12754056</v>
      </c>
      <c r="N36" s="27">
        <f t="shared" si="7"/>
        <v>39900000</v>
      </c>
      <c r="O36" s="27">
        <f t="shared" si="7"/>
        <v>32255003</v>
      </c>
      <c r="P36" s="27">
        <f t="shared" si="7"/>
        <v>4573000</v>
      </c>
      <c r="Q36" s="55">
        <f t="shared" si="7"/>
        <v>0</v>
      </c>
      <c r="R36" s="29">
        <f t="shared" si="2"/>
        <v>103049360</v>
      </c>
    </row>
    <row r="37" spans="1:18" x14ac:dyDescent="0.25">
      <c r="A37" s="3"/>
      <c r="B37" s="3"/>
      <c r="C37" s="3"/>
      <c r="D37" s="11"/>
      <c r="E37" s="11"/>
      <c r="F37" s="48"/>
      <c r="G37" s="28"/>
      <c r="H37" s="28"/>
      <c r="I37" s="28"/>
      <c r="J37" s="41"/>
      <c r="K37" s="8"/>
      <c r="L37" s="8"/>
      <c r="M37" s="8"/>
      <c r="N37" s="8"/>
      <c r="O37" s="8"/>
      <c r="P37" s="8"/>
      <c r="Q37" s="8"/>
      <c r="R37" s="29">
        <f t="shared" si="2"/>
        <v>0</v>
      </c>
    </row>
    <row r="38" spans="1:18" x14ac:dyDescent="0.25">
      <c r="A38" s="3" t="s">
        <v>30</v>
      </c>
      <c r="B38" s="3"/>
      <c r="C38" s="3"/>
      <c r="D38" s="11">
        <f>D36+D30+D19</f>
        <v>137949360</v>
      </c>
      <c r="E38" s="11">
        <f>E36+E30+E19</f>
        <v>141157431</v>
      </c>
      <c r="F38" s="11">
        <f>F36+F30+F19</f>
        <v>620000</v>
      </c>
      <c r="G38" s="11">
        <f t="shared" ref="G38:Q38" si="8">G36+G30+G19</f>
        <v>0</v>
      </c>
      <c r="H38" s="11">
        <f t="shared" si="8"/>
        <v>688071</v>
      </c>
      <c r="I38" s="11">
        <f t="shared" si="8"/>
        <v>900000</v>
      </c>
      <c r="J38" s="55">
        <f t="shared" si="8"/>
        <v>1000000</v>
      </c>
      <c r="K38" s="11">
        <f t="shared" si="8"/>
        <v>4777901</v>
      </c>
      <c r="L38" s="11">
        <f t="shared" si="8"/>
        <v>19789400</v>
      </c>
      <c r="M38" s="11">
        <f t="shared" si="8"/>
        <v>20154056</v>
      </c>
      <c r="N38" s="11">
        <f t="shared" si="8"/>
        <v>56400000</v>
      </c>
      <c r="O38" s="11">
        <f t="shared" si="8"/>
        <v>32255003</v>
      </c>
      <c r="P38" s="11">
        <f t="shared" si="8"/>
        <v>4573000</v>
      </c>
      <c r="Q38" s="11">
        <f t="shared" si="8"/>
        <v>0</v>
      </c>
      <c r="R38" s="29">
        <f t="shared" si="2"/>
        <v>140537431</v>
      </c>
    </row>
    <row r="39" spans="1:18" x14ac:dyDescent="0.25">
      <c r="A39" s="3"/>
      <c r="B39" s="3"/>
      <c r="C39" s="3"/>
      <c r="D39" s="11"/>
      <c r="E39" s="11"/>
      <c r="F39" s="27"/>
      <c r="G39" s="28"/>
      <c r="H39" s="8"/>
      <c r="I39" s="8"/>
      <c r="J39" s="8"/>
      <c r="K39" s="8"/>
      <c r="L39" s="8"/>
      <c r="M39" s="8"/>
      <c r="N39" s="8"/>
      <c r="O39" s="8"/>
      <c r="P39" s="8"/>
      <c r="Q39" s="8"/>
      <c r="R39" s="26"/>
    </row>
    <row r="40" spans="1:18" ht="18.75" x14ac:dyDescent="0.3">
      <c r="A40" s="31" t="s">
        <v>2</v>
      </c>
      <c r="B40" s="10"/>
      <c r="C40" s="10"/>
      <c r="D40" s="12"/>
      <c r="E40" s="12"/>
      <c r="F40" s="12"/>
      <c r="G40" s="2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26"/>
    </row>
    <row r="41" spans="1:18" ht="30" x14ac:dyDescent="0.25">
      <c r="A41" s="4"/>
      <c r="B41" s="4"/>
      <c r="C41" s="4" t="s">
        <v>69</v>
      </c>
      <c r="D41" s="20" t="s">
        <v>81</v>
      </c>
      <c r="E41" s="20" t="s">
        <v>79</v>
      </c>
      <c r="F41" s="99" t="s">
        <v>77</v>
      </c>
      <c r="G41" s="4">
        <v>2018</v>
      </c>
      <c r="H41" s="4">
        <v>2019</v>
      </c>
      <c r="I41" s="4">
        <v>2020</v>
      </c>
      <c r="J41" s="101">
        <v>2021</v>
      </c>
      <c r="K41" s="4">
        <v>2022</v>
      </c>
      <c r="L41" s="4">
        <v>2023</v>
      </c>
      <c r="M41" s="4">
        <v>2024</v>
      </c>
      <c r="N41" s="4">
        <v>2025</v>
      </c>
      <c r="O41" s="4">
        <v>2026</v>
      </c>
      <c r="P41" s="4">
        <v>2027</v>
      </c>
      <c r="Q41" s="4">
        <v>2028</v>
      </c>
      <c r="R41" s="22" t="s">
        <v>33</v>
      </c>
    </row>
    <row r="42" spans="1:18" x14ac:dyDescent="0.25">
      <c r="D42" s="7"/>
      <c r="E42" s="107"/>
      <c r="F42" s="113"/>
      <c r="G42" s="68"/>
      <c r="H42" s="68"/>
      <c r="I42" s="28"/>
      <c r="J42" s="41"/>
      <c r="K42" s="8"/>
      <c r="L42" s="8"/>
      <c r="M42" s="8"/>
      <c r="N42" s="8"/>
      <c r="O42" s="8"/>
      <c r="P42" s="8"/>
      <c r="Q42" s="8"/>
      <c r="R42" s="29">
        <f t="shared" ref="R42:R74" si="9">SUM(G42:Q42)</f>
        <v>0</v>
      </c>
    </row>
    <row r="43" spans="1:18" x14ac:dyDescent="0.25">
      <c r="A43" t="s">
        <v>27</v>
      </c>
      <c r="D43" s="7"/>
      <c r="E43" s="107"/>
      <c r="F43" s="96"/>
      <c r="G43" s="28"/>
      <c r="H43" s="28"/>
      <c r="I43" s="28"/>
      <c r="J43" s="41"/>
      <c r="K43" s="8"/>
      <c r="L43" s="8"/>
      <c r="M43" s="8"/>
      <c r="N43" s="8"/>
      <c r="O43" s="8"/>
      <c r="P43" s="8"/>
      <c r="Q43" s="8"/>
      <c r="R43" s="29">
        <f t="shared" si="9"/>
        <v>0</v>
      </c>
    </row>
    <row r="44" spans="1:18" x14ac:dyDescent="0.25">
      <c r="D44" s="7"/>
      <c r="E44" s="107"/>
      <c r="F44" s="96"/>
      <c r="G44" s="28"/>
      <c r="H44" s="28"/>
      <c r="I44" s="28"/>
      <c r="J44" s="41"/>
      <c r="K44" s="8"/>
      <c r="L44" s="8"/>
      <c r="M44" s="8"/>
      <c r="N44" s="8"/>
      <c r="O44" s="8"/>
      <c r="P44" s="8"/>
      <c r="Q44" s="8"/>
      <c r="R44" s="29">
        <f t="shared" si="9"/>
        <v>0</v>
      </c>
    </row>
    <row r="45" spans="1:18" x14ac:dyDescent="0.25">
      <c r="B45" t="s">
        <v>82</v>
      </c>
      <c r="C45" s="70"/>
      <c r="D45" s="7">
        <f>E45-F45-G45-H45-I45-J45</f>
        <v>61087756</v>
      </c>
      <c r="E45" s="107">
        <f>SUM(F45:Q45)</f>
        <v>61837756</v>
      </c>
      <c r="F45" s="96">
        <f>SUM(F46:F51)</f>
        <v>0</v>
      </c>
      <c r="G45" s="87">
        <f>SUM(G46:G51)</f>
        <v>0</v>
      </c>
      <c r="H45" s="87">
        <f t="shared" ref="H45:Q45" si="10">SUM(H46:H51)</f>
        <v>50000</v>
      </c>
      <c r="I45" s="87">
        <f t="shared" si="10"/>
        <v>200000</v>
      </c>
      <c r="J45" s="105">
        <f t="shared" si="10"/>
        <v>500000</v>
      </c>
      <c r="K45" s="87">
        <f t="shared" si="10"/>
        <v>2250000</v>
      </c>
      <c r="L45" s="56">
        <f>SUM(L46:L50)</f>
        <v>6000000</v>
      </c>
      <c r="M45" s="56">
        <f>SUM(M46:M51)</f>
        <v>6388428</v>
      </c>
      <c r="N45" s="56">
        <f>SUM(N46:N51)</f>
        <v>31000000</v>
      </c>
      <c r="O45" s="42">
        <f>SUM(O46:O51)</f>
        <v>15449328</v>
      </c>
      <c r="P45" s="28">
        <f t="shared" si="10"/>
        <v>0</v>
      </c>
      <c r="Q45" s="41">
        <f t="shared" si="10"/>
        <v>0</v>
      </c>
      <c r="R45" s="29">
        <f t="shared" si="9"/>
        <v>61837756</v>
      </c>
    </row>
    <row r="46" spans="1:18" x14ac:dyDescent="0.25">
      <c r="C46" t="s">
        <v>20</v>
      </c>
      <c r="D46" s="7">
        <f t="shared" ref="D46:D51" si="11">E46-F46-G46-H46-I46-J46</f>
        <v>4350000</v>
      </c>
      <c r="E46" s="107">
        <f t="shared" ref="E46:E51" si="12">SUM(F46:Q46)</f>
        <v>5000000</v>
      </c>
      <c r="F46" s="96"/>
      <c r="G46" s="28"/>
      <c r="H46" s="28">
        <v>50000</v>
      </c>
      <c r="I46" s="28">
        <v>100000</v>
      </c>
      <c r="J46" s="41">
        <f>2500000-I46-H46-1850000</f>
        <v>500000</v>
      </c>
      <c r="K46" s="8">
        <f>2500000-250000-K47</f>
        <v>1850000</v>
      </c>
      <c r="L46" s="8">
        <f>500000+2000000</f>
        <v>2500000</v>
      </c>
      <c r="M46" s="8"/>
      <c r="N46" s="8"/>
      <c r="O46" s="8"/>
      <c r="P46" s="8"/>
      <c r="Q46" s="8"/>
      <c r="R46" s="29">
        <f t="shared" si="9"/>
        <v>5000000</v>
      </c>
    </row>
    <row r="47" spans="1:18" x14ac:dyDescent="0.25">
      <c r="C47" t="s">
        <v>21</v>
      </c>
      <c r="D47" s="7">
        <f>E47-F47-G47-H47-I47-K47</f>
        <v>0</v>
      </c>
      <c r="E47" s="107">
        <f t="shared" si="12"/>
        <v>500000</v>
      </c>
      <c r="F47" s="96"/>
      <c r="G47" s="28"/>
      <c r="H47" s="28"/>
      <c r="I47" s="28">
        <v>100000</v>
      </c>
      <c r="J47" s="104"/>
      <c r="K47" s="28">
        <v>400000</v>
      </c>
      <c r="L47" s="8"/>
      <c r="M47" s="8"/>
      <c r="N47" s="8"/>
      <c r="O47" s="8"/>
      <c r="P47" s="8"/>
      <c r="Q47" s="8"/>
      <c r="R47" s="29">
        <f t="shared" si="9"/>
        <v>500000</v>
      </c>
    </row>
    <row r="48" spans="1:18" x14ac:dyDescent="0.25">
      <c r="C48" t="s">
        <v>22</v>
      </c>
      <c r="D48" s="7">
        <f t="shared" si="11"/>
        <v>9648428</v>
      </c>
      <c r="E48" s="107">
        <f t="shared" si="12"/>
        <v>9648428</v>
      </c>
      <c r="F48" s="96"/>
      <c r="G48" s="28"/>
      <c r="H48" s="28"/>
      <c r="I48" s="28"/>
      <c r="J48" s="41"/>
      <c r="K48" s="8"/>
      <c r="L48" s="8">
        <v>3500000</v>
      </c>
      <c r="M48" s="8">
        <f>6148428-K48-J48</f>
        <v>6148428</v>
      </c>
      <c r="N48" s="8"/>
      <c r="O48" s="8"/>
      <c r="P48" s="8"/>
      <c r="Q48" s="8"/>
      <c r="R48" s="29">
        <f t="shared" si="9"/>
        <v>9648428</v>
      </c>
    </row>
    <row r="49" spans="2:20" x14ac:dyDescent="0.25">
      <c r="C49" t="s">
        <v>37</v>
      </c>
      <c r="D49" s="7">
        <f t="shared" si="11"/>
        <v>4400000</v>
      </c>
      <c r="E49" s="107">
        <f t="shared" si="12"/>
        <v>4400000</v>
      </c>
      <c r="F49" s="96"/>
      <c r="G49" s="28"/>
      <c r="H49" s="28"/>
      <c r="I49" s="28"/>
      <c r="J49" s="41"/>
      <c r="K49" s="8"/>
      <c r="M49" s="8">
        <v>240000</v>
      </c>
      <c r="N49" s="8">
        <f>N50*0.12</f>
        <v>3000000</v>
      </c>
      <c r="O49" s="8">
        <v>1160000</v>
      </c>
      <c r="P49" s="8"/>
      <c r="Q49" s="8"/>
      <c r="R49" s="29">
        <f t="shared" si="9"/>
        <v>4400000</v>
      </c>
    </row>
    <row r="50" spans="2:20" x14ac:dyDescent="0.25">
      <c r="C50" t="s">
        <v>23</v>
      </c>
      <c r="D50" s="7">
        <f t="shared" si="11"/>
        <v>36669000</v>
      </c>
      <c r="E50" s="107">
        <f t="shared" si="12"/>
        <v>36669000</v>
      </c>
      <c r="F50" s="96"/>
      <c r="G50" s="28"/>
      <c r="H50" s="28"/>
      <c r="I50" s="28"/>
      <c r="J50" s="41"/>
      <c r="K50" s="8"/>
      <c r="M50" s="8"/>
      <c r="N50" s="8">
        <v>25000000</v>
      </c>
      <c r="O50" s="8">
        <f>P186-N50-M50</f>
        <v>11669000</v>
      </c>
      <c r="P50" s="8"/>
      <c r="Q50" s="8"/>
      <c r="R50" s="29">
        <f t="shared" si="9"/>
        <v>36669000</v>
      </c>
    </row>
    <row r="51" spans="2:20" x14ac:dyDescent="0.25">
      <c r="C51" s="70" t="s">
        <v>39</v>
      </c>
      <c r="D51" s="7">
        <f t="shared" si="11"/>
        <v>5620328</v>
      </c>
      <c r="E51" s="107">
        <f t="shared" si="12"/>
        <v>5620328</v>
      </c>
      <c r="F51" s="96"/>
      <c r="G51" s="28"/>
      <c r="H51" s="28"/>
      <c r="I51" s="28"/>
      <c r="J51" s="41"/>
      <c r="L51" s="131"/>
      <c r="M51" s="8"/>
      <c r="N51" s="8">
        <v>3000000</v>
      </c>
      <c r="O51" s="8">
        <f>P188-N51-M51-3000000-2408</f>
        <v>2620328</v>
      </c>
      <c r="P51" s="8"/>
      <c r="Q51" s="8"/>
      <c r="R51" s="29">
        <f t="shared" si="9"/>
        <v>5620328</v>
      </c>
      <c r="T51" s="197">
        <f>+R51/(R49+R50)</f>
        <v>0.13685086074654848</v>
      </c>
    </row>
    <row r="52" spans="2:20" x14ac:dyDescent="0.25">
      <c r="D52" s="7"/>
      <c r="E52" s="107"/>
      <c r="F52" s="96"/>
      <c r="G52" s="28"/>
      <c r="H52" s="28"/>
      <c r="I52" s="28"/>
      <c r="J52" s="41"/>
      <c r="L52" s="8"/>
      <c r="M52" s="8"/>
      <c r="N52" s="8"/>
      <c r="O52" s="8"/>
      <c r="P52" s="8"/>
      <c r="Q52" s="8"/>
      <c r="R52" s="29">
        <f t="shared" si="9"/>
        <v>0</v>
      </c>
    </row>
    <row r="53" spans="2:20" x14ac:dyDescent="0.25">
      <c r="D53" s="7"/>
      <c r="E53" s="107"/>
      <c r="F53" s="96"/>
      <c r="G53" s="28"/>
      <c r="H53" s="28"/>
      <c r="I53" s="28"/>
      <c r="J53" s="41"/>
      <c r="K53" s="8"/>
      <c r="L53" s="8"/>
      <c r="M53" s="8"/>
      <c r="N53" s="8"/>
      <c r="O53" s="8"/>
      <c r="P53" s="8"/>
      <c r="Q53" s="8"/>
      <c r="R53" s="29">
        <f t="shared" si="9"/>
        <v>0</v>
      </c>
    </row>
    <row r="54" spans="2:20" x14ac:dyDescent="0.25">
      <c r="B54" t="s">
        <v>28</v>
      </c>
      <c r="C54" s="70"/>
      <c r="D54" s="7">
        <f>E54-F54-G54-H54-I54-J54</f>
        <v>66861604</v>
      </c>
      <c r="E54" s="107">
        <f t="shared" ref="E54:E60" si="13">SUM(F54:Q54)</f>
        <v>69269675</v>
      </c>
      <c r="F54" s="96">
        <f>SUM(F55:F60)</f>
        <v>570000</v>
      </c>
      <c r="G54" s="87">
        <f>SUM(G55:G60)</f>
        <v>0</v>
      </c>
      <c r="H54" s="87">
        <f t="shared" ref="H54:Q54" si="14">SUM(H55:H60)</f>
        <v>638071</v>
      </c>
      <c r="I54" s="87">
        <f t="shared" si="14"/>
        <v>700000</v>
      </c>
      <c r="J54" s="105">
        <f t="shared" si="14"/>
        <v>500000</v>
      </c>
      <c r="K54" s="87">
        <f t="shared" si="14"/>
        <v>1727901</v>
      </c>
      <c r="L54" s="87">
        <f t="shared" si="14"/>
        <v>9189400</v>
      </c>
      <c r="M54" s="56">
        <f>SUM(M55:M60)</f>
        <v>9165628</v>
      </c>
      <c r="N54" s="42">
        <f>SUM(N55:N60)</f>
        <v>25400000</v>
      </c>
      <c r="O54" s="56">
        <f>SUM(O55:O60)</f>
        <v>16805675</v>
      </c>
      <c r="P54" s="56">
        <f>SUM(P55:P60)</f>
        <v>4573000</v>
      </c>
      <c r="Q54" s="57">
        <f t="shared" si="14"/>
        <v>0</v>
      </c>
      <c r="R54" s="29">
        <f t="shared" si="9"/>
        <v>68699675</v>
      </c>
    </row>
    <row r="55" spans="2:20" x14ac:dyDescent="0.25">
      <c r="C55" t="s">
        <v>20</v>
      </c>
      <c r="D55" s="7">
        <f t="shared" ref="D55:D60" si="15">E55-F55-G55-H55-I55-J55</f>
        <v>4699578</v>
      </c>
      <c r="E55" s="107">
        <f t="shared" si="13"/>
        <v>5711000</v>
      </c>
      <c r="F55" s="96">
        <v>320000</v>
      </c>
      <c r="G55" s="28"/>
      <c r="H55" s="28">
        <f>154688+104074-H46</f>
        <v>208762</v>
      </c>
      <c r="I55" s="28">
        <v>200000</v>
      </c>
      <c r="J55" s="41">
        <f>146610+1000000-863950</f>
        <v>282660</v>
      </c>
      <c r="K55" s="8">
        <f>3000000-2000000</f>
        <v>1000000</v>
      </c>
      <c r="L55" s="8">
        <f>S183-K55-J55-I55-H55</f>
        <v>3699578</v>
      </c>
      <c r="M55" s="8"/>
      <c r="N55" s="8"/>
      <c r="O55" s="8"/>
      <c r="P55" s="8"/>
      <c r="Q55" s="8"/>
      <c r="R55" s="29">
        <f t="shared" si="9"/>
        <v>5391000</v>
      </c>
    </row>
    <row r="56" spans="2:20" x14ac:dyDescent="0.25">
      <c r="C56" s="70" t="s">
        <v>21</v>
      </c>
      <c r="D56" s="7">
        <f t="shared" si="15"/>
        <v>1053351</v>
      </c>
      <c r="E56" s="107">
        <f t="shared" si="13"/>
        <v>2450000</v>
      </c>
      <c r="F56" s="96">
        <v>250000</v>
      </c>
      <c r="G56" s="28">
        <v>0</v>
      </c>
      <c r="H56" s="28">
        <f>401564-H55+236507</f>
        <v>429309</v>
      </c>
      <c r="I56" s="28">
        <v>500000</v>
      </c>
      <c r="J56" s="41">
        <f>C154-I56-H56-I47+900000-863951</f>
        <v>217340</v>
      </c>
      <c r="K56" s="8">
        <f>S184-J56-I56-H56-325450</f>
        <v>727901</v>
      </c>
      <c r="L56" s="8">
        <v>325450</v>
      </c>
      <c r="M56" s="8"/>
      <c r="N56" s="8"/>
      <c r="O56" s="8"/>
      <c r="P56" s="8"/>
      <c r="Q56" s="8"/>
      <c r="R56" s="29">
        <f t="shared" si="9"/>
        <v>2200000</v>
      </c>
    </row>
    <row r="57" spans="2:20" x14ac:dyDescent="0.25">
      <c r="C57" t="s">
        <v>22</v>
      </c>
      <c r="D57" s="7">
        <f t="shared" si="15"/>
        <v>9970000</v>
      </c>
      <c r="E57" s="107">
        <f t="shared" si="13"/>
        <v>9970000</v>
      </c>
      <c r="F57" s="96"/>
      <c r="G57" s="28"/>
      <c r="H57" s="28"/>
      <c r="I57" s="28"/>
      <c r="J57" s="41"/>
      <c r="L57" s="8">
        <f>6000000-835628</f>
        <v>5164372</v>
      </c>
      <c r="M57" s="8">
        <f>S185-L57-J57</f>
        <v>4805628</v>
      </c>
      <c r="N57" s="8"/>
      <c r="O57" s="8"/>
      <c r="P57" s="8"/>
      <c r="Q57" s="8"/>
      <c r="R57" s="29">
        <f t="shared" si="9"/>
        <v>9970000</v>
      </c>
    </row>
    <row r="58" spans="2:20" x14ac:dyDescent="0.25">
      <c r="C58" t="s">
        <v>37</v>
      </c>
      <c r="D58" s="7">
        <f t="shared" si="15"/>
        <v>4312700</v>
      </c>
      <c r="E58" s="107">
        <f t="shared" si="13"/>
        <v>4312700</v>
      </c>
      <c r="F58" s="96"/>
      <c r="G58" s="28"/>
      <c r="H58" s="28"/>
      <c r="I58" s="28"/>
      <c r="J58" s="41"/>
      <c r="K58" s="8"/>
      <c r="M58" s="8">
        <f>M59*0.12</f>
        <v>360000</v>
      </c>
      <c r="N58" s="8">
        <f>N59*0.12</f>
        <v>2400000</v>
      </c>
      <c r="O58" s="8">
        <f>O59*0.12</f>
        <v>1200000</v>
      </c>
      <c r="P58" s="8">
        <v>352700</v>
      </c>
      <c r="Q58" s="8"/>
      <c r="R58" s="29">
        <f t="shared" si="9"/>
        <v>4312700</v>
      </c>
    </row>
    <row r="59" spans="2:20" x14ac:dyDescent="0.25">
      <c r="C59" t="s">
        <v>23</v>
      </c>
      <c r="D59" s="7">
        <f t="shared" si="15"/>
        <v>35939000</v>
      </c>
      <c r="E59" s="107">
        <f t="shared" si="13"/>
        <v>35939000</v>
      </c>
      <c r="F59" s="96"/>
      <c r="G59" s="28"/>
      <c r="H59" s="28"/>
      <c r="I59" s="28"/>
      <c r="J59" s="41"/>
      <c r="K59" s="8"/>
      <c r="M59" s="8">
        <v>3000000</v>
      </c>
      <c r="N59" s="8">
        <v>20000000</v>
      </c>
      <c r="O59" s="8">
        <v>10000000</v>
      </c>
      <c r="P59" s="8">
        <f>S186-O59-N59-M59</f>
        <v>2939000</v>
      </c>
      <c r="Q59" s="8"/>
      <c r="R59" s="29">
        <f t="shared" si="9"/>
        <v>35939000</v>
      </c>
    </row>
    <row r="60" spans="2:20" x14ac:dyDescent="0.25">
      <c r="C60" t="s">
        <v>39</v>
      </c>
      <c r="D60" s="7">
        <f t="shared" si="15"/>
        <v>10886975</v>
      </c>
      <c r="E60" s="107">
        <f t="shared" si="13"/>
        <v>10886975</v>
      </c>
      <c r="F60" s="96"/>
      <c r="G60" s="28"/>
      <c r="H60" s="28"/>
      <c r="I60" s="28"/>
      <c r="J60" s="41"/>
      <c r="K60" s="8"/>
      <c r="M60" s="8">
        <v>1000000</v>
      </c>
      <c r="N60" s="8">
        <v>3000000</v>
      </c>
      <c r="O60" s="8">
        <f>2000000+3600000+5675</f>
        <v>5605675</v>
      </c>
      <c r="P60" s="8">
        <f>S188-O60-N60-M60-93332</f>
        <v>1281300</v>
      </c>
      <c r="Q60" s="8"/>
      <c r="R60" s="29">
        <f t="shared" si="9"/>
        <v>10886975</v>
      </c>
      <c r="T60" s="197">
        <f>+R60/(R58+R59)</f>
        <v>0.27047242725151982</v>
      </c>
    </row>
    <row r="61" spans="2:20" x14ac:dyDescent="0.25">
      <c r="D61" s="7"/>
      <c r="E61" s="107"/>
      <c r="F61" s="96"/>
      <c r="G61" s="28"/>
      <c r="H61" s="28"/>
      <c r="I61" s="28"/>
      <c r="J61" s="41"/>
      <c r="K61" s="8"/>
      <c r="L61" s="8"/>
      <c r="M61" s="8"/>
      <c r="N61" s="8"/>
      <c r="O61" s="8"/>
      <c r="P61" s="8"/>
      <c r="Q61" s="8"/>
      <c r="R61" s="29">
        <f t="shared" si="9"/>
        <v>0</v>
      </c>
    </row>
    <row r="62" spans="2:20" x14ac:dyDescent="0.25">
      <c r="D62" s="7"/>
      <c r="E62" s="107"/>
      <c r="F62" s="96"/>
      <c r="G62" s="28"/>
      <c r="H62" s="28"/>
      <c r="I62" s="28"/>
      <c r="J62" s="41"/>
      <c r="K62" s="8"/>
      <c r="L62" s="8"/>
      <c r="M62" s="8"/>
      <c r="N62" s="8"/>
      <c r="O62" s="8"/>
      <c r="P62" s="8"/>
      <c r="Q62" s="8"/>
      <c r="R62" s="29">
        <f t="shared" si="9"/>
        <v>0</v>
      </c>
    </row>
    <row r="63" spans="2:20" x14ac:dyDescent="0.25">
      <c r="D63" s="7"/>
      <c r="E63" s="107"/>
      <c r="F63" s="96"/>
      <c r="G63" s="28"/>
      <c r="H63" s="28"/>
      <c r="I63" s="28"/>
      <c r="J63" s="41"/>
      <c r="K63" s="8"/>
      <c r="L63" s="8"/>
      <c r="M63" s="8"/>
      <c r="N63" s="8"/>
      <c r="O63" s="8"/>
      <c r="P63" s="8"/>
      <c r="Q63" s="8"/>
      <c r="R63" s="29">
        <f t="shared" si="9"/>
        <v>0</v>
      </c>
    </row>
    <row r="64" spans="2:20" x14ac:dyDescent="0.25">
      <c r="B64" t="s">
        <v>297</v>
      </c>
      <c r="D64" s="7">
        <f>E64-F64-G64-H64-I64-J64</f>
        <v>10000000</v>
      </c>
      <c r="E64" s="107">
        <f t="shared" ref="E64:E70" si="16">SUM(F64:Q64)</f>
        <v>10050000</v>
      </c>
      <c r="F64" s="96">
        <f>SUM(F65:F71)</f>
        <v>50000</v>
      </c>
      <c r="G64" s="87">
        <f>SUM(G65:G71)</f>
        <v>0</v>
      </c>
      <c r="H64" s="87">
        <f t="shared" ref="H64:M64" si="17">SUM(H65:H71)</f>
        <v>0</v>
      </c>
      <c r="I64" s="87">
        <f t="shared" si="17"/>
        <v>0</v>
      </c>
      <c r="J64" s="105">
        <f t="shared" si="17"/>
        <v>0</v>
      </c>
      <c r="K64" s="87">
        <f t="shared" si="17"/>
        <v>800000</v>
      </c>
      <c r="L64" s="56">
        <f t="shared" si="17"/>
        <v>4600000</v>
      </c>
      <c r="M64" s="56">
        <f t="shared" si="17"/>
        <v>4600000</v>
      </c>
      <c r="N64" s="8"/>
      <c r="O64" s="8"/>
      <c r="P64" s="8"/>
      <c r="Q64" s="8"/>
      <c r="R64" s="29">
        <f t="shared" si="9"/>
        <v>10000000</v>
      </c>
    </row>
    <row r="65" spans="1:21" x14ac:dyDescent="0.25">
      <c r="C65" t="s">
        <v>20</v>
      </c>
      <c r="D65" s="7">
        <f>E65-F65-G65-H65-I65-J65</f>
        <v>600000</v>
      </c>
      <c r="E65" s="107">
        <f t="shared" si="16"/>
        <v>650000</v>
      </c>
      <c r="F65" s="96">
        <v>50000</v>
      </c>
      <c r="G65" s="204"/>
      <c r="H65" s="204"/>
      <c r="I65" s="204"/>
      <c r="J65" s="41">
        <f>100000-100000</f>
        <v>0</v>
      </c>
      <c r="K65" s="8">
        <f>380000+100000+120000</f>
        <v>600000</v>
      </c>
      <c r="L65" s="8"/>
      <c r="M65" s="8"/>
      <c r="N65" s="8"/>
      <c r="O65" s="8"/>
      <c r="P65" s="8"/>
      <c r="Q65" s="8"/>
      <c r="R65" s="29">
        <f t="shared" si="9"/>
        <v>600000</v>
      </c>
    </row>
    <row r="66" spans="1:21" x14ac:dyDescent="0.25">
      <c r="C66" t="s">
        <v>21</v>
      </c>
      <c r="D66" s="7">
        <f>E66-F66-G66-H66-I66-J66</f>
        <v>200000</v>
      </c>
      <c r="E66" s="107">
        <f t="shared" si="16"/>
        <v>200000</v>
      </c>
      <c r="F66" s="96"/>
      <c r="G66" s="28"/>
      <c r="H66" s="28"/>
      <c r="I66" s="28"/>
      <c r="J66" s="41">
        <f>100000-100000</f>
        <v>0</v>
      </c>
      <c r="K66" s="8">
        <f>100000+100000</f>
        <v>200000</v>
      </c>
      <c r="L66" s="8"/>
      <c r="M66" s="8"/>
      <c r="N66" s="8"/>
      <c r="O66" s="8"/>
      <c r="P66" s="8"/>
      <c r="Q66" s="8"/>
      <c r="R66" s="29">
        <f t="shared" si="9"/>
        <v>200000</v>
      </c>
    </row>
    <row r="67" spans="1:21" x14ac:dyDescent="0.25">
      <c r="C67" t="s">
        <v>22</v>
      </c>
      <c r="D67" s="7">
        <f>E67-F67-G67-H67-I67-J57</f>
        <v>0</v>
      </c>
      <c r="E67" s="107">
        <f t="shared" si="16"/>
        <v>0</v>
      </c>
      <c r="F67" s="96">
        <v>0</v>
      </c>
      <c r="G67" s="28"/>
      <c r="H67" s="28"/>
      <c r="I67" s="28"/>
      <c r="J67" s="41"/>
      <c r="K67" s="8"/>
      <c r="L67" s="8"/>
      <c r="M67" s="8"/>
      <c r="N67" s="8"/>
      <c r="O67" s="8"/>
      <c r="P67" s="8"/>
      <c r="Q67" s="8"/>
      <c r="R67" s="29">
        <f t="shared" si="9"/>
        <v>0</v>
      </c>
    </row>
    <row r="68" spans="1:21" x14ac:dyDescent="0.25">
      <c r="C68" t="s">
        <v>37</v>
      </c>
      <c r="D68" s="7">
        <f>E68-F68-G68-H68-I68-J68</f>
        <v>1040000</v>
      </c>
      <c r="E68" s="107">
        <f t="shared" si="16"/>
        <v>1040000</v>
      </c>
      <c r="F68" s="96"/>
      <c r="G68" s="28"/>
      <c r="H68" s="28"/>
      <c r="I68" s="28"/>
      <c r="J68" s="41"/>
      <c r="K68" s="8"/>
      <c r="L68" s="8">
        <v>520000</v>
      </c>
      <c r="M68" s="8">
        <f>+L68</f>
        <v>520000</v>
      </c>
      <c r="N68" s="8"/>
      <c r="O68" s="8"/>
      <c r="P68" s="8"/>
      <c r="Q68" s="8"/>
      <c r="R68" s="29">
        <f t="shared" si="9"/>
        <v>1040000</v>
      </c>
    </row>
    <row r="69" spans="1:21" x14ac:dyDescent="0.25">
      <c r="C69" t="s">
        <v>23</v>
      </c>
      <c r="D69" s="7">
        <f>E69-F69-G69-H69-I69-J69</f>
        <v>5400000</v>
      </c>
      <c r="E69" s="107">
        <f t="shared" si="16"/>
        <v>5400000</v>
      </c>
      <c r="F69" s="96"/>
      <c r="G69" s="28"/>
      <c r="H69" s="28"/>
      <c r="I69" s="28"/>
      <c r="J69" s="41"/>
      <c r="K69" s="8"/>
      <c r="L69" s="8">
        <f>2200000+500000</f>
        <v>2700000</v>
      </c>
      <c r="M69" s="8">
        <f>+L69</f>
        <v>2700000</v>
      </c>
      <c r="N69" s="8"/>
      <c r="O69" s="8"/>
      <c r="P69" s="8"/>
      <c r="Q69" s="8"/>
      <c r="R69" s="29">
        <f t="shared" si="9"/>
        <v>5400000</v>
      </c>
    </row>
    <row r="70" spans="1:21" x14ac:dyDescent="0.25">
      <c r="C70" t="s">
        <v>201</v>
      </c>
      <c r="D70" s="7">
        <f>E70-F70-G70-H70-I70-J70</f>
        <v>2760000</v>
      </c>
      <c r="E70" s="107">
        <f t="shared" si="16"/>
        <v>2760000</v>
      </c>
      <c r="F70" s="96"/>
      <c r="G70" s="28"/>
      <c r="H70" s="28"/>
      <c r="I70" s="28"/>
      <c r="J70" s="41"/>
      <c r="K70" s="8"/>
      <c r="L70" s="8">
        <f>700000+(4100000-3420000)</f>
        <v>1380000</v>
      </c>
      <c r="M70" s="8">
        <f>+L70</f>
        <v>1380000</v>
      </c>
      <c r="N70" s="8"/>
      <c r="O70" s="8"/>
      <c r="P70" s="8"/>
      <c r="Q70" s="8"/>
      <c r="R70" s="29">
        <f t="shared" si="9"/>
        <v>2760000</v>
      </c>
      <c r="S70" s="62">
        <f>SUM(R68:R70)</f>
        <v>9200000</v>
      </c>
      <c r="T70" s="197">
        <f>+R70/(R64-R70)</f>
        <v>0.38121546961325969</v>
      </c>
    </row>
    <row r="71" spans="1:21" x14ac:dyDescent="0.25">
      <c r="D71" s="7"/>
      <c r="E71" s="107"/>
      <c r="F71" s="96"/>
      <c r="G71" s="28"/>
      <c r="H71" s="28"/>
      <c r="I71" s="28"/>
      <c r="J71" s="41"/>
      <c r="K71" s="8"/>
      <c r="L71" s="8"/>
      <c r="M71" s="8"/>
      <c r="N71" s="8"/>
      <c r="O71" s="8"/>
      <c r="P71" s="8"/>
      <c r="Q71" s="8"/>
      <c r="R71" s="29">
        <f t="shared" si="9"/>
        <v>0</v>
      </c>
    </row>
    <row r="72" spans="1:21" x14ac:dyDescent="0.25">
      <c r="D72" s="7"/>
      <c r="E72" s="107"/>
      <c r="F72" s="96"/>
      <c r="G72" s="28"/>
      <c r="H72" s="28"/>
      <c r="I72" s="28"/>
      <c r="J72" s="41"/>
      <c r="K72" s="8"/>
      <c r="L72" s="8"/>
      <c r="M72" s="8"/>
      <c r="N72" s="8"/>
      <c r="O72" s="8"/>
      <c r="P72" s="8"/>
      <c r="Q72" s="8"/>
      <c r="R72" s="29">
        <f t="shared" si="9"/>
        <v>0</v>
      </c>
    </row>
    <row r="73" spans="1:21" x14ac:dyDescent="0.25">
      <c r="D73" s="7"/>
      <c r="E73" s="107"/>
      <c r="F73" s="96"/>
      <c r="G73" s="28"/>
      <c r="H73" s="28"/>
      <c r="I73" s="28"/>
      <c r="J73" s="41"/>
      <c r="K73" s="8"/>
      <c r="L73" s="8"/>
      <c r="M73" s="8"/>
      <c r="N73" s="8"/>
      <c r="O73" s="8"/>
      <c r="P73" s="8"/>
      <c r="Q73" s="8"/>
      <c r="R73" s="29">
        <f t="shared" si="9"/>
        <v>0</v>
      </c>
    </row>
    <row r="74" spans="1:21" x14ac:dyDescent="0.25">
      <c r="D74" s="17"/>
      <c r="E74" s="17"/>
      <c r="F74" s="78"/>
      <c r="G74" s="28"/>
      <c r="H74" s="28"/>
      <c r="I74" s="28"/>
      <c r="J74" s="41"/>
      <c r="K74" s="8"/>
      <c r="L74" s="8"/>
      <c r="M74" s="8"/>
      <c r="N74" s="8"/>
      <c r="O74" s="8"/>
      <c r="P74" s="8"/>
      <c r="Q74" s="8"/>
      <c r="R74" s="29">
        <f t="shared" si="9"/>
        <v>0</v>
      </c>
    </row>
    <row r="75" spans="1:21" ht="15.75" thickBot="1" x14ac:dyDescent="0.3">
      <c r="A75" s="15" t="s">
        <v>31</v>
      </c>
      <c r="B75" s="15"/>
      <c r="C75" s="15"/>
      <c r="D75" s="19">
        <f>D54+D45+D64</f>
        <v>137949360</v>
      </c>
      <c r="E75" s="19">
        <f>E54+E45+E64</f>
        <v>141157431</v>
      </c>
      <c r="F75" s="33">
        <f t="shared" ref="F75:Q75" si="18">F54+F45+F64</f>
        <v>620000</v>
      </c>
      <c r="G75" s="19">
        <f t="shared" si="18"/>
        <v>0</v>
      </c>
      <c r="H75" s="19">
        <f t="shared" si="18"/>
        <v>688071</v>
      </c>
      <c r="I75" s="19">
        <f t="shared" si="18"/>
        <v>900000</v>
      </c>
      <c r="J75" s="106">
        <f t="shared" si="18"/>
        <v>1000000</v>
      </c>
      <c r="K75" s="19">
        <f t="shared" si="18"/>
        <v>4777901</v>
      </c>
      <c r="L75" s="19">
        <f t="shared" si="18"/>
        <v>19789400</v>
      </c>
      <c r="M75" s="19">
        <f t="shared" si="18"/>
        <v>20154056</v>
      </c>
      <c r="N75" s="19">
        <f t="shared" si="18"/>
        <v>56400000</v>
      </c>
      <c r="O75" s="19">
        <f t="shared" si="18"/>
        <v>32255003</v>
      </c>
      <c r="P75" s="19">
        <f t="shared" si="18"/>
        <v>4573000</v>
      </c>
      <c r="Q75" s="19">
        <f t="shared" si="18"/>
        <v>0</v>
      </c>
      <c r="R75" s="30">
        <f>SUM(G75:Q75)</f>
        <v>140537431</v>
      </c>
      <c r="U75" s="62">
        <f>+R51+R60+R70</f>
        <v>19267303</v>
      </c>
    </row>
    <row r="76" spans="1:21" ht="15.75" thickTop="1" x14ac:dyDescent="0.25">
      <c r="A76" t="s">
        <v>32</v>
      </c>
      <c r="D76" s="17">
        <f t="shared" ref="D76:Q76" si="19">D38-D75</f>
        <v>0</v>
      </c>
      <c r="E76" s="17">
        <f t="shared" si="19"/>
        <v>0</v>
      </c>
      <c r="F76" s="17">
        <f t="shared" si="19"/>
        <v>0</v>
      </c>
      <c r="G76" s="17">
        <f t="shared" si="19"/>
        <v>0</v>
      </c>
      <c r="H76" s="17">
        <f t="shared" si="19"/>
        <v>0</v>
      </c>
      <c r="I76" s="79">
        <f t="shared" si="19"/>
        <v>0</v>
      </c>
      <c r="J76" s="80">
        <f t="shared" si="19"/>
        <v>0</v>
      </c>
      <c r="K76" s="17">
        <f t="shared" si="19"/>
        <v>0</v>
      </c>
      <c r="L76" s="17">
        <f t="shared" si="19"/>
        <v>0</v>
      </c>
      <c r="M76" s="17">
        <f t="shared" si="19"/>
        <v>0</v>
      </c>
      <c r="N76" s="17">
        <f t="shared" si="19"/>
        <v>0</v>
      </c>
      <c r="O76" s="17">
        <f t="shared" si="19"/>
        <v>0</v>
      </c>
      <c r="P76" s="17">
        <f t="shared" si="19"/>
        <v>0</v>
      </c>
      <c r="Q76" s="17">
        <f t="shared" si="19"/>
        <v>0</v>
      </c>
      <c r="R76" s="29">
        <f>SUM(G76:Q76)</f>
        <v>0</v>
      </c>
    </row>
    <row r="77" spans="1:21" x14ac:dyDescent="0.25">
      <c r="D77" s="17"/>
      <c r="E77" s="17"/>
      <c r="F77" s="32"/>
    </row>
    <row r="78" spans="1:21" x14ac:dyDescent="0.25">
      <c r="D78" s="17"/>
      <c r="E78" s="17"/>
      <c r="F78" s="32"/>
    </row>
    <row r="79" spans="1:21" x14ac:dyDescent="0.25">
      <c r="D79" s="17" t="s">
        <v>72</v>
      </c>
      <c r="E79" s="17"/>
      <c r="F79" s="32"/>
      <c r="G79" s="62">
        <f>D33</f>
        <v>103049360</v>
      </c>
      <c r="H79" s="197">
        <f>+G79/$G$82</f>
        <v>0.74700861243575178</v>
      </c>
    </row>
    <row r="80" spans="1:21" x14ac:dyDescent="0.25">
      <c r="D80" s="17" t="s">
        <v>83</v>
      </c>
      <c r="E80" s="17"/>
      <c r="F80" s="32"/>
      <c r="G80" s="62">
        <f>D32+D30+D19</f>
        <v>34900000</v>
      </c>
      <c r="H80" s="197">
        <f>+G80/$G$82</f>
        <v>0.25299138756424822</v>
      </c>
      <c r="I80" s="225">
        <f>0.4*G82</f>
        <v>55179744</v>
      </c>
    </row>
    <row r="81" spans="4:8" x14ac:dyDescent="0.25">
      <c r="D81" s="17" t="s">
        <v>84</v>
      </c>
      <c r="E81" s="17"/>
      <c r="F81" s="32"/>
      <c r="G81" s="217">
        <f>D32</f>
        <v>0</v>
      </c>
    </row>
    <row r="82" spans="4:8" x14ac:dyDescent="0.25">
      <c r="D82" s="13"/>
      <c r="E82" s="13"/>
      <c r="G82" s="62">
        <f>SUM(G79:G81)</f>
        <v>137949360</v>
      </c>
    </row>
    <row r="83" spans="4:8" x14ac:dyDescent="0.25">
      <c r="D83" s="13"/>
      <c r="E83" s="13"/>
    </row>
    <row r="84" spans="4:8" x14ac:dyDescent="0.25">
      <c r="E84" s="13"/>
    </row>
    <row r="85" spans="4:8" x14ac:dyDescent="0.25">
      <c r="D85" s="13"/>
      <c r="E85" s="14"/>
      <c r="F85" s="14"/>
      <c r="G85" s="8"/>
      <c r="H85" s="14"/>
    </row>
    <row r="86" spans="4:8" x14ac:dyDescent="0.25">
      <c r="D86" s="14"/>
      <c r="E86" s="14"/>
      <c r="F86" s="14"/>
      <c r="G86" s="8"/>
      <c r="H86" s="14"/>
    </row>
    <row r="87" spans="4:8" x14ac:dyDescent="0.25">
      <c r="D87" s="14"/>
      <c r="E87" s="14"/>
      <c r="F87" s="14"/>
      <c r="G87" s="8"/>
      <c r="H87" s="14"/>
    </row>
    <row r="88" spans="4:8" x14ac:dyDescent="0.25">
      <c r="D88" s="14"/>
      <c r="E88" s="14"/>
      <c r="F88" s="14"/>
      <c r="G88" s="8"/>
      <c r="H88" s="14"/>
    </row>
    <row r="89" spans="4:8" x14ac:dyDescent="0.25">
      <c r="D89" s="14"/>
      <c r="E89" s="14"/>
      <c r="F89" s="14"/>
      <c r="G89" s="8"/>
      <c r="H89" s="14"/>
    </row>
    <row r="90" spans="4:8" x14ac:dyDescent="0.25">
      <c r="E90" s="14"/>
      <c r="F90" s="14"/>
      <c r="G90" s="8"/>
      <c r="H90" s="14"/>
    </row>
    <row r="91" spans="4:8" x14ac:dyDescent="0.25">
      <c r="E91" s="14"/>
      <c r="F91" s="14"/>
      <c r="G91" s="8"/>
      <c r="H91" s="14"/>
    </row>
    <row r="92" spans="4:8" x14ac:dyDescent="0.25">
      <c r="E92" s="14"/>
      <c r="F92" s="14"/>
      <c r="G92" s="8"/>
      <c r="H92" s="14"/>
    </row>
    <row r="93" spans="4:8" x14ac:dyDescent="0.25">
      <c r="E93" s="14"/>
      <c r="F93" s="14"/>
      <c r="G93" s="8"/>
      <c r="H93" s="14"/>
    </row>
    <row r="94" spans="4:8" x14ac:dyDescent="0.25">
      <c r="E94" s="14"/>
      <c r="F94" s="14"/>
      <c r="G94" s="14"/>
      <c r="H94" s="14"/>
    </row>
    <row r="144" spans="3:4" x14ac:dyDescent="0.25">
      <c r="C144">
        <v>154688</v>
      </c>
      <c r="D144" t="s">
        <v>162</v>
      </c>
    </row>
    <row r="145" spans="3:4" x14ac:dyDescent="0.25">
      <c r="C145">
        <v>248684</v>
      </c>
      <c r="D145" t="s">
        <v>163</v>
      </c>
    </row>
    <row r="146" spans="3:4" x14ac:dyDescent="0.25">
      <c r="C146" s="38">
        <v>302000</v>
      </c>
      <c r="D146" t="s">
        <v>164</v>
      </c>
    </row>
    <row r="147" spans="3:4" x14ac:dyDescent="0.25">
      <c r="C147" s="92">
        <f>SUM(C144:C146)</f>
        <v>705372</v>
      </c>
      <c r="D147" t="s">
        <v>159</v>
      </c>
    </row>
    <row r="150" spans="3:4" x14ac:dyDescent="0.25">
      <c r="C150">
        <v>1212408</v>
      </c>
    </row>
    <row r="151" spans="3:4" x14ac:dyDescent="0.25">
      <c r="C151">
        <v>302000</v>
      </c>
    </row>
    <row r="152" spans="3:4" x14ac:dyDescent="0.25">
      <c r="C152" s="38">
        <v>401564</v>
      </c>
    </row>
    <row r="153" spans="3:4" x14ac:dyDescent="0.25">
      <c r="C153">
        <f>SUM(C150:C152)</f>
        <v>1915972</v>
      </c>
    </row>
    <row r="154" spans="3:4" x14ac:dyDescent="0.25">
      <c r="C154" s="92">
        <f>C153-C147</f>
        <v>1210600</v>
      </c>
      <c r="D154" t="s">
        <v>160</v>
      </c>
    </row>
    <row r="157" spans="3:4" x14ac:dyDescent="0.25">
      <c r="C157">
        <v>200000</v>
      </c>
      <c r="D157" t="s">
        <v>166</v>
      </c>
    </row>
    <row r="158" spans="3:4" x14ac:dyDescent="0.25">
      <c r="C158">
        <v>113693</v>
      </c>
      <c r="D158" t="s">
        <v>165</v>
      </c>
    </row>
    <row r="160" spans="3:4" x14ac:dyDescent="0.25">
      <c r="C160">
        <f>C158+C157+C154+C147</f>
        <v>2229665</v>
      </c>
      <c r="D160" t="s">
        <v>161</v>
      </c>
    </row>
    <row r="161" spans="3:19" x14ac:dyDescent="0.25">
      <c r="C161">
        <v>2230000</v>
      </c>
    </row>
    <row r="163" spans="3:19" x14ac:dyDescent="0.25">
      <c r="S163" t="s">
        <v>195</v>
      </c>
    </row>
    <row r="178" spans="11:23" ht="31.5" customHeight="1" x14ac:dyDescent="0.25">
      <c r="S178" s="386" t="s">
        <v>196</v>
      </c>
      <c r="T178" s="386"/>
      <c r="U178" s="386"/>
      <c r="V178" s="386"/>
      <c r="W178" s="386"/>
    </row>
    <row r="179" spans="11:23" x14ac:dyDescent="0.25">
      <c r="S179" s="386"/>
      <c r="T179" s="386"/>
      <c r="U179" s="386"/>
      <c r="V179" s="386"/>
      <c r="W179" s="386"/>
    </row>
    <row r="182" spans="11:23" x14ac:dyDescent="0.25">
      <c r="N182" t="s">
        <v>173</v>
      </c>
      <c r="R182" t="s">
        <v>174</v>
      </c>
    </row>
    <row r="183" spans="11:23" x14ac:dyDescent="0.25">
      <c r="N183" t="s">
        <v>46</v>
      </c>
      <c r="P183" s="8">
        <f>5500000</f>
        <v>5500000</v>
      </c>
      <c r="R183" t="s">
        <v>46</v>
      </c>
      <c r="S183" s="8">
        <v>5391000</v>
      </c>
    </row>
    <row r="184" spans="11:23" x14ac:dyDescent="0.25">
      <c r="N184" t="s">
        <v>158</v>
      </c>
      <c r="P184" s="8">
        <v>500000</v>
      </c>
      <c r="R184" t="s">
        <v>158</v>
      </c>
      <c r="S184" s="8">
        <v>2200000</v>
      </c>
    </row>
    <row r="185" spans="11:23" x14ac:dyDescent="0.25">
      <c r="N185" t="s">
        <v>47</v>
      </c>
      <c r="P185" s="8">
        <v>6148428</v>
      </c>
      <c r="R185" t="s">
        <v>47</v>
      </c>
      <c r="S185" s="8">
        <v>9970000</v>
      </c>
    </row>
    <row r="186" spans="11:23" x14ac:dyDescent="0.25">
      <c r="N186" t="s">
        <v>169</v>
      </c>
      <c r="P186" s="8">
        <f>36669000</f>
        <v>36669000</v>
      </c>
      <c r="R186" t="s">
        <v>169</v>
      </c>
      <c r="S186" s="8">
        <f>35939000</f>
        <v>35939000</v>
      </c>
    </row>
    <row r="187" spans="11:23" x14ac:dyDescent="0.25">
      <c r="N187" t="s">
        <v>170</v>
      </c>
      <c r="P187" s="8">
        <v>4400000</v>
      </c>
      <c r="R187" t="s">
        <v>170</v>
      </c>
      <c r="S187" s="8">
        <v>4313000</v>
      </c>
    </row>
    <row r="188" spans="11:23" x14ac:dyDescent="0.25">
      <c r="K188" s="188" t="s">
        <v>192</v>
      </c>
      <c r="N188" t="s">
        <v>171</v>
      </c>
      <c r="P188" s="8">
        <f>5321743+3300993</f>
        <v>8622736</v>
      </c>
      <c r="R188" t="s">
        <v>171</v>
      </c>
      <c r="S188" s="8">
        <f>5781300+1500000+3699007</f>
        <v>10980307</v>
      </c>
    </row>
    <row r="189" spans="11:23" x14ac:dyDescent="0.25">
      <c r="S189" s="8"/>
    </row>
    <row r="190" spans="11:23" x14ac:dyDescent="0.25">
      <c r="N190" t="s">
        <v>172</v>
      </c>
      <c r="P190" s="62">
        <f>P188+P187+P186</f>
        <v>49691736</v>
      </c>
      <c r="R190" t="s">
        <v>172</v>
      </c>
      <c r="S190" s="62">
        <f>S188+S187+S186</f>
        <v>51232307</v>
      </c>
    </row>
    <row r="191" spans="11:23" x14ac:dyDescent="0.25">
      <c r="S191" s="8"/>
    </row>
    <row r="192" spans="11:23" ht="15.75" thickBot="1" x14ac:dyDescent="0.3">
      <c r="N192" t="s">
        <v>161</v>
      </c>
      <c r="P192" s="189">
        <f>P190+P185+P184+P183</f>
        <v>61840164</v>
      </c>
      <c r="R192" t="s">
        <v>161</v>
      </c>
      <c r="S192" s="62">
        <f>S190+S185+S184+S183</f>
        <v>68793307</v>
      </c>
      <c r="U192" s="62">
        <f>P192+S192</f>
        <v>130633471</v>
      </c>
    </row>
    <row r="193" spans="1:23" ht="15.75" thickTop="1" x14ac:dyDescent="0.25">
      <c r="S193" s="8"/>
    </row>
    <row r="194" spans="1:23" x14ac:dyDescent="0.25">
      <c r="A194" t="s">
        <v>197</v>
      </c>
      <c r="N194" s="188" t="s">
        <v>193</v>
      </c>
      <c r="O194" s="188"/>
      <c r="P194" s="8">
        <v>3300993</v>
      </c>
      <c r="Q194" t="s">
        <v>199</v>
      </c>
      <c r="S194" s="8">
        <v>3699007</v>
      </c>
      <c r="T194" t="s">
        <v>199</v>
      </c>
      <c r="U194" s="387" t="s">
        <v>198</v>
      </c>
      <c r="V194" s="387"/>
      <c r="W194" s="387"/>
    </row>
    <row r="195" spans="1:23" x14ac:dyDescent="0.25">
      <c r="U195" s="387"/>
      <c r="V195" s="387"/>
      <c r="W195" s="387"/>
    </row>
    <row r="196" spans="1:23" x14ac:dyDescent="0.25">
      <c r="P196" s="62">
        <v>58539171</v>
      </c>
      <c r="Q196" s="62"/>
      <c r="R196" s="62"/>
      <c r="S196" s="62">
        <v>65094300</v>
      </c>
      <c r="U196" s="387"/>
      <c r="V196" s="387"/>
      <c r="W196" s="387"/>
    </row>
    <row r="198" spans="1:23" ht="15.75" thickBot="1" x14ac:dyDescent="0.3">
      <c r="N198" t="s">
        <v>194</v>
      </c>
      <c r="P198" s="189">
        <f>SUM(P194:P196)</f>
        <v>61840164</v>
      </c>
      <c r="Q198" s="62"/>
      <c r="R198" s="62"/>
      <c r="S198" s="62">
        <f>SUM(S194:S196)</f>
        <v>68793307</v>
      </c>
    </row>
    <row r="199" spans="1:23" ht="15.75" thickTop="1" x14ac:dyDescent="0.25"/>
    <row r="201" spans="1:23" x14ac:dyDescent="0.25">
      <c r="P201" s="62">
        <f>+P198+S198</f>
        <v>130633471</v>
      </c>
    </row>
  </sheetData>
  <mergeCells count="2">
    <mergeCell ref="S178:W179"/>
    <mergeCell ref="U194:W196"/>
  </mergeCells>
  <pageMargins left="0.7" right="0.7" top="0.75" bottom="0.75" header="0.3" footer="0.3"/>
  <pageSetup paperSize="17" scale="34" orientation="portrait" horizontalDpi="1200" verticalDpi="12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pageSetUpPr fitToPage="1"/>
  </sheetPr>
  <dimension ref="A1:R82"/>
  <sheetViews>
    <sheetView zoomScale="90" zoomScaleNormal="90" workbookViewId="0"/>
  </sheetViews>
  <sheetFormatPr defaultRowHeight="15" x14ac:dyDescent="0.25"/>
  <cols>
    <col min="1" max="1" width="5.42578125" customWidth="1"/>
    <col min="2" max="2" width="5" customWidth="1"/>
    <col min="3" max="3" width="45.28515625" customWidth="1"/>
    <col min="4" max="4" width="15.28515625" customWidth="1"/>
    <col min="5" max="5" width="14.7109375" customWidth="1"/>
    <col min="6" max="6" width="13.42578125" customWidth="1"/>
    <col min="7" max="7" width="13.7109375" customWidth="1"/>
    <col min="8" max="8" width="13.28515625" customWidth="1"/>
    <col min="9" max="9" width="13.5703125" customWidth="1"/>
    <col min="10" max="10" width="14.28515625" customWidth="1"/>
    <col min="11" max="12" width="11.7109375" bestFit="1" customWidth="1"/>
    <col min="13" max="13" width="13.28515625" customWidth="1"/>
    <col min="14" max="14" width="15.5703125" customWidth="1"/>
    <col min="15" max="15" width="13.140625" customWidth="1"/>
    <col min="16" max="17" width="9.28515625" bestFit="1" customWidth="1"/>
    <col min="18" max="18" width="16.85546875" customWidth="1"/>
  </cols>
  <sheetData>
    <row r="1" spans="1:18" ht="18.75" x14ac:dyDescent="0.3">
      <c r="A1" s="75" t="s">
        <v>62</v>
      </c>
    </row>
    <row r="3" spans="1:18" x14ac:dyDescent="0.25">
      <c r="C3" t="s">
        <v>51</v>
      </c>
    </row>
    <row r="4" spans="1:18" x14ac:dyDescent="0.25">
      <c r="C4" t="s">
        <v>60</v>
      </c>
      <c r="D4" s="107"/>
      <c r="E4" s="107"/>
    </row>
    <row r="5" spans="1:18" x14ac:dyDescent="0.25">
      <c r="C5" t="s">
        <v>78</v>
      </c>
      <c r="D5" s="7"/>
      <c r="E5" s="7"/>
    </row>
    <row r="6" spans="1:18" x14ac:dyDescent="0.25">
      <c r="C6" t="s">
        <v>0</v>
      </c>
      <c r="D6" s="21"/>
      <c r="E6" s="21"/>
    </row>
    <row r="7" spans="1:18" x14ac:dyDescent="0.25">
      <c r="C7" t="s">
        <v>59</v>
      </c>
      <c r="D7" s="86"/>
      <c r="E7" s="86"/>
    </row>
    <row r="8" spans="1:18" x14ac:dyDescent="0.25">
      <c r="C8" t="s">
        <v>23</v>
      </c>
      <c r="D8" s="61"/>
      <c r="E8" s="61"/>
      <c r="H8" s="199"/>
      <c r="I8" s="43"/>
      <c r="J8" s="119" t="s">
        <v>100</v>
      </c>
      <c r="K8" s="117" t="s">
        <v>99</v>
      </c>
    </row>
    <row r="9" spans="1:18" ht="18.75" x14ac:dyDescent="0.3">
      <c r="A9" s="31" t="s">
        <v>1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</row>
    <row r="10" spans="1:18" ht="30" x14ac:dyDescent="0.25">
      <c r="A10" s="4"/>
      <c r="B10" s="4"/>
      <c r="C10" s="4" t="s">
        <v>3</v>
      </c>
      <c r="D10" s="20" t="s">
        <v>80</v>
      </c>
      <c r="E10" s="20" t="s">
        <v>79</v>
      </c>
      <c r="F10" s="22">
        <v>2017</v>
      </c>
      <c r="G10" s="4">
        <v>2018</v>
      </c>
      <c r="H10" s="4">
        <v>2019</v>
      </c>
      <c r="I10" s="4">
        <v>2020</v>
      </c>
      <c r="J10" s="101">
        <v>2021</v>
      </c>
      <c r="K10" s="4">
        <v>2022</v>
      </c>
      <c r="L10" s="4">
        <v>2023</v>
      </c>
      <c r="M10" s="4">
        <v>2024</v>
      </c>
      <c r="N10" s="4">
        <v>2025</v>
      </c>
      <c r="O10" s="4">
        <v>2026</v>
      </c>
      <c r="P10" s="4">
        <v>2027</v>
      </c>
      <c r="Q10" s="4">
        <v>2028</v>
      </c>
      <c r="R10" s="22" t="s">
        <v>225</v>
      </c>
    </row>
    <row r="11" spans="1:18" x14ac:dyDescent="0.25">
      <c r="A11" s="3" t="s">
        <v>5</v>
      </c>
      <c r="B11" s="3"/>
      <c r="C11" s="3"/>
      <c r="D11" s="5"/>
      <c r="E11" s="108"/>
      <c r="F11" s="95"/>
      <c r="G11" s="93"/>
      <c r="H11" s="93"/>
      <c r="I11" s="93"/>
      <c r="J11" s="102"/>
      <c r="K11" s="6"/>
      <c r="L11" s="6"/>
      <c r="M11" s="6"/>
      <c r="N11" s="6"/>
      <c r="O11" s="6"/>
      <c r="P11" s="6"/>
      <c r="Q11" s="6"/>
      <c r="R11" s="29">
        <f>SUM(G11:Q11)</f>
        <v>0</v>
      </c>
    </row>
    <row r="12" spans="1:18" x14ac:dyDescent="0.25">
      <c r="A12" s="3"/>
      <c r="B12" s="3"/>
      <c r="C12" s="3" t="s">
        <v>6</v>
      </c>
      <c r="D12" s="7"/>
      <c r="E12" s="107"/>
      <c r="F12" s="96"/>
      <c r="G12" s="28"/>
      <c r="H12" s="28"/>
      <c r="I12" s="28"/>
      <c r="J12" s="41"/>
      <c r="K12" s="8"/>
      <c r="L12" s="8"/>
      <c r="M12" s="8"/>
      <c r="N12" s="8"/>
      <c r="O12" s="8"/>
      <c r="P12" s="8"/>
      <c r="Q12" s="8"/>
      <c r="R12" s="29">
        <f t="shared" ref="R12:R38" si="0">SUM(G12:Q12)</f>
        <v>0</v>
      </c>
    </row>
    <row r="13" spans="1:18" x14ac:dyDescent="0.25">
      <c r="A13" s="3"/>
      <c r="B13" s="3"/>
      <c r="C13" s="3" t="s">
        <v>70</v>
      </c>
      <c r="D13" s="7"/>
      <c r="E13" s="110">
        <f>SUM(F13:Q13)</f>
        <v>264082</v>
      </c>
      <c r="F13" s="96">
        <v>264082</v>
      </c>
      <c r="G13" s="28"/>
      <c r="H13" s="28"/>
      <c r="I13" s="28"/>
      <c r="J13" s="41"/>
      <c r="K13" s="8"/>
      <c r="L13" s="8"/>
      <c r="M13" s="8"/>
      <c r="N13" s="8"/>
      <c r="O13" s="8"/>
      <c r="P13" s="8"/>
      <c r="Q13" s="8"/>
      <c r="R13" s="29">
        <f t="shared" si="0"/>
        <v>0</v>
      </c>
    </row>
    <row r="14" spans="1:18" x14ac:dyDescent="0.25">
      <c r="A14" s="3"/>
      <c r="B14" s="3"/>
      <c r="C14" s="3" t="s">
        <v>56</v>
      </c>
      <c r="D14" s="7"/>
      <c r="E14" s="107"/>
      <c r="F14" s="96"/>
      <c r="G14" s="28"/>
      <c r="H14" s="28"/>
      <c r="I14" s="28"/>
      <c r="J14" s="41"/>
      <c r="K14" s="8"/>
      <c r="L14" s="8"/>
      <c r="M14" s="8"/>
      <c r="N14" s="8"/>
      <c r="O14" s="8"/>
      <c r="P14" s="8"/>
      <c r="Q14" s="8"/>
      <c r="R14" s="29">
        <f t="shared" si="0"/>
        <v>0</v>
      </c>
    </row>
    <row r="15" spans="1:18" x14ac:dyDescent="0.25">
      <c r="A15" s="3"/>
      <c r="B15" s="3"/>
      <c r="C15" s="3" t="s">
        <v>8</v>
      </c>
      <c r="D15" s="7"/>
      <c r="E15" s="107"/>
      <c r="F15" s="96"/>
      <c r="G15" s="28"/>
      <c r="H15" s="28"/>
      <c r="I15" s="28"/>
      <c r="J15" s="41"/>
      <c r="K15" s="8"/>
      <c r="L15" s="8"/>
      <c r="M15" s="8"/>
      <c r="N15" s="8"/>
      <c r="O15" s="8"/>
      <c r="P15" s="8"/>
      <c r="Q15" s="8"/>
      <c r="R15" s="29">
        <f t="shared" si="0"/>
        <v>0</v>
      </c>
    </row>
    <row r="16" spans="1:18" x14ac:dyDescent="0.25">
      <c r="A16" s="3"/>
      <c r="B16" s="3"/>
      <c r="C16" s="3" t="s">
        <v>12</v>
      </c>
      <c r="D16" s="7"/>
      <c r="E16" s="107"/>
      <c r="F16" s="96"/>
      <c r="G16" s="28"/>
      <c r="H16" s="28"/>
      <c r="I16" s="28"/>
      <c r="J16" s="41"/>
      <c r="K16" s="8"/>
      <c r="L16" s="8"/>
      <c r="M16" s="8"/>
      <c r="N16" s="8"/>
      <c r="O16" s="8"/>
      <c r="P16" s="8"/>
      <c r="Q16" s="8"/>
      <c r="R16" s="29">
        <f t="shared" si="0"/>
        <v>0</v>
      </c>
    </row>
    <row r="17" spans="1:18" x14ac:dyDescent="0.25">
      <c r="A17" s="3"/>
      <c r="B17" s="3"/>
      <c r="C17" s="3" t="s">
        <v>41</v>
      </c>
      <c r="D17" s="7"/>
      <c r="E17" s="107"/>
      <c r="F17" s="96"/>
      <c r="G17" s="28"/>
      <c r="H17" s="28"/>
      <c r="I17" s="28"/>
      <c r="J17" s="41"/>
      <c r="K17" s="8"/>
      <c r="L17" s="8"/>
      <c r="M17" s="8"/>
      <c r="N17" s="8"/>
      <c r="O17" s="8"/>
      <c r="P17" s="8"/>
      <c r="Q17" s="8"/>
      <c r="R17" s="29">
        <f t="shared" si="0"/>
        <v>0</v>
      </c>
    </row>
    <row r="18" spans="1:18" x14ac:dyDescent="0.25">
      <c r="A18" s="3"/>
      <c r="B18" s="3"/>
      <c r="C18" s="3"/>
      <c r="D18" s="9"/>
      <c r="E18" s="109"/>
      <c r="F18" s="97"/>
      <c r="G18" s="73"/>
      <c r="H18" s="73"/>
      <c r="I18" s="73"/>
      <c r="J18" s="74"/>
      <c r="K18" s="73"/>
      <c r="L18" s="73"/>
      <c r="M18" s="73"/>
      <c r="N18" s="73"/>
      <c r="O18" s="73"/>
      <c r="P18" s="73"/>
      <c r="Q18" s="74"/>
      <c r="R18" s="29">
        <f t="shared" si="0"/>
        <v>0</v>
      </c>
    </row>
    <row r="19" spans="1:18" x14ac:dyDescent="0.25">
      <c r="A19" s="3"/>
      <c r="B19" s="3" t="s">
        <v>19</v>
      </c>
      <c r="C19" s="3"/>
      <c r="D19" s="7">
        <f t="shared" ref="D19:Q19" si="1">SUM(D12:D18)</f>
        <v>0</v>
      </c>
      <c r="E19" s="107">
        <f t="shared" si="1"/>
        <v>264082</v>
      </c>
      <c r="F19" s="96">
        <f t="shared" si="1"/>
        <v>264082</v>
      </c>
      <c r="G19" s="27">
        <f t="shared" si="1"/>
        <v>0</v>
      </c>
      <c r="H19" s="27">
        <f t="shared" si="1"/>
        <v>0</v>
      </c>
      <c r="I19" s="27">
        <f t="shared" si="1"/>
        <v>0</v>
      </c>
      <c r="J19" s="55">
        <f t="shared" si="1"/>
        <v>0</v>
      </c>
      <c r="K19" s="27">
        <f t="shared" si="1"/>
        <v>0</v>
      </c>
      <c r="L19" s="27">
        <f t="shared" si="1"/>
        <v>0</v>
      </c>
      <c r="M19" s="27">
        <f t="shared" si="1"/>
        <v>0</v>
      </c>
      <c r="N19" s="27">
        <f t="shared" si="1"/>
        <v>0</v>
      </c>
      <c r="O19" s="27">
        <f t="shared" si="1"/>
        <v>0</v>
      </c>
      <c r="P19" s="27">
        <f t="shared" si="1"/>
        <v>0</v>
      </c>
      <c r="Q19" s="55">
        <f t="shared" si="1"/>
        <v>0</v>
      </c>
      <c r="R19" s="29">
        <f t="shared" si="0"/>
        <v>0</v>
      </c>
    </row>
    <row r="20" spans="1:18" x14ac:dyDescent="0.25">
      <c r="A20" s="3" t="s">
        <v>4</v>
      </c>
      <c r="B20" s="3"/>
      <c r="C20" s="3"/>
      <c r="D20" s="7"/>
      <c r="E20" s="107"/>
      <c r="F20" s="96"/>
      <c r="G20" s="53"/>
      <c r="H20" s="53"/>
      <c r="I20" s="53"/>
      <c r="J20" s="54"/>
      <c r="K20" s="53"/>
      <c r="L20" s="53"/>
      <c r="M20" s="53"/>
      <c r="N20" s="53"/>
      <c r="O20" s="53"/>
      <c r="P20" s="53"/>
      <c r="Q20" s="54"/>
      <c r="R20" s="29">
        <f t="shared" si="0"/>
        <v>0</v>
      </c>
    </row>
    <row r="21" spans="1:18" x14ac:dyDescent="0.25">
      <c r="A21" s="3"/>
      <c r="B21" s="3"/>
      <c r="C21" s="3" t="s">
        <v>10</v>
      </c>
      <c r="D21" s="7"/>
      <c r="E21" s="107"/>
      <c r="F21" s="96"/>
      <c r="G21" s="53"/>
      <c r="H21" s="53"/>
      <c r="I21" s="53"/>
      <c r="J21" s="54"/>
      <c r="K21" s="53"/>
      <c r="L21" s="53"/>
      <c r="M21" s="53"/>
      <c r="N21" s="53"/>
      <c r="O21" s="53"/>
      <c r="P21" s="53"/>
      <c r="Q21" s="54"/>
      <c r="R21" s="29">
        <f t="shared" si="0"/>
        <v>0</v>
      </c>
    </row>
    <row r="22" spans="1:18" x14ac:dyDescent="0.25">
      <c r="A22" s="3"/>
      <c r="B22" s="3"/>
      <c r="C22" s="3" t="s">
        <v>9</v>
      </c>
      <c r="D22" s="7"/>
      <c r="E22" s="107"/>
      <c r="F22" s="96"/>
      <c r="G22" s="53"/>
      <c r="H22" s="53"/>
      <c r="I22" s="53"/>
      <c r="J22" s="54"/>
      <c r="K22" s="53"/>
      <c r="L22" s="53"/>
      <c r="M22" s="53"/>
      <c r="N22" s="53"/>
      <c r="O22" s="53"/>
      <c r="P22" s="53"/>
      <c r="Q22" s="54"/>
      <c r="R22" s="29">
        <f t="shared" si="0"/>
        <v>0</v>
      </c>
    </row>
    <row r="23" spans="1:18" x14ac:dyDescent="0.25">
      <c r="A23" s="3"/>
      <c r="B23" s="3"/>
      <c r="C23" s="3" t="s">
        <v>101</v>
      </c>
      <c r="D23" s="7"/>
      <c r="E23" s="110"/>
      <c r="F23" s="96"/>
      <c r="G23" s="53"/>
      <c r="H23" s="28"/>
      <c r="I23" s="28"/>
      <c r="J23" s="41"/>
      <c r="K23" s="53"/>
      <c r="L23" s="53"/>
      <c r="M23" s="53"/>
      <c r="N23" s="53"/>
      <c r="O23" s="53"/>
      <c r="P23" s="53"/>
      <c r="Q23" s="54"/>
      <c r="R23" s="29"/>
    </row>
    <row r="24" spans="1:18" x14ac:dyDescent="0.25">
      <c r="A24" s="3"/>
      <c r="B24" s="3"/>
      <c r="C24" s="3" t="s">
        <v>35</v>
      </c>
      <c r="D24" s="7"/>
      <c r="E24" s="107"/>
      <c r="F24" s="96"/>
      <c r="G24" s="53"/>
      <c r="H24" s="53"/>
      <c r="I24" s="53"/>
      <c r="J24" s="54"/>
      <c r="K24" s="53"/>
      <c r="L24" s="53"/>
      <c r="M24" s="53"/>
      <c r="N24" s="53"/>
      <c r="O24" s="53"/>
      <c r="P24" s="53"/>
      <c r="Q24" s="54"/>
      <c r="R24" s="29">
        <f t="shared" si="0"/>
        <v>0</v>
      </c>
    </row>
    <row r="25" spans="1:18" x14ac:dyDescent="0.25">
      <c r="A25" s="3"/>
      <c r="B25" s="3"/>
      <c r="C25" s="3" t="s">
        <v>36</v>
      </c>
      <c r="D25" s="7"/>
      <c r="E25" s="107"/>
      <c r="F25" s="96"/>
      <c r="G25" s="53"/>
      <c r="H25" s="53"/>
      <c r="I25" s="53"/>
      <c r="J25" s="54"/>
      <c r="K25" s="53"/>
      <c r="L25" s="53"/>
      <c r="M25" s="53"/>
      <c r="N25" s="53"/>
      <c r="O25" s="53"/>
      <c r="P25" s="53"/>
      <c r="Q25" s="54"/>
      <c r="R25" s="29">
        <f t="shared" si="0"/>
        <v>0</v>
      </c>
    </row>
    <row r="26" spans="1:18" x14ac:dyDescent="0.25">
      <c r="A26" s="3"/>
      <c r="B26" s="3"/>
      <c r="C26" s="3" t="s">
        <v>38</v>
      </c>
      <c r="D26" s="7"/>
      <c r="E26" s="107"/>
      <c r="F26" s="96"/>
      <c r="G26" s="53"/>
      <c r="H26" s="53"/>
      <c r="I26" s="53"/>
      <c r="J26" s="54"/>
      <c r="K26" s="53"/>
      <c r="L26" s="53"/>
      <c r="M26" s="53"/>
      <c r="N26" s="53"/>
      <c r="O26" s="53"/>
      <c r="P26" s="53"/>
      <c r="Q26" s="54"/>
      <c r="R26" s="29">
        <f t="shared" si="0"/>
        <v>0</v>
      </c>
    </row>
    <row r="27" spans="1:18" x14ac:dyDescent="0.25">
      <c r="A27" s="3"/>
      <c r="B27" s="3"/>
      <c r="C27" s="3" t="s">
        <v>11</v>
      </c>
      <c r="D27" s="7"/>
      <c r="E27" s="107"/>
      <c r="F27" s="96"/>
      <c r="G27" s="53"/>
      <c r="H27" s="53"/>
      <c r="I27" s="53"/>
      <c r="J27" s="54"/>
      <c r="K27" s="53"/>
      <c r="L27" s="53"/>
      <c r="M27" s="53"/>
      <c r="N27" s="53"/>
      <c r="O27" s="53"/>
      <c r="P27" s="53"/>
      <c r="Q27" s="54"/>
      <c r="R27" s="29">
        <f t="shared" si="0"/>
        <v>0</v>
      </c>
    </row>
    <row r="28" spans="1:18" x14ac:dyDescent="0.25">
      <c r="A28" s="3"/>
      <c r="B28" s="3"/>
      <c r="C28" s="3" t="s">
        <v>106</v>
      </c>
      <c r="D28" s="7">
        <f>E28-F28-G28-H28-I28</f>
        <v>0</v>
      </c>
      <c r="E28" s="110">
        <f>SUM(F28:Q28)</f>
        <v>613296</v>
      </c>
      <c r="F28" s="96"/>
      <c r="G28" s="53">
        <f>G55</f>
        <v>139257</v>
      </c>
      <c r="H28" s="53">
        <f>H55</f>
        <v>474039</v>
      </c>
      <c r="I28" s="53">
        <f>I55</f>
        <v>0</v>
      </c>
      <c r="J28" s="54">
        <f>J55</f>
        <v>0</v>
      </c>
      <c r="K28" s="53">
        <f>K55</f>
        <v>0</v>
      </c>
      <c r="L28" s="53"/>
      <c r="M28" s="53"/>
      <c r="N28" s="53"/>
      <c r="O28" s="53"/>
      <c r="P28" s="53"/>
      <c r="Q28" s="54"/>
      <c r="R28" s="29">
        <f t="shared" si="0"/>
        <v>613296</v>
      </c>
    </row>
    <row r="29" spans="1:18" x14ac:dyDescent="0.25">
      <c r="A29" s="3"/>
      <c r="B29" s="3"/>
      <c r="C29" s="3"/>
      <c r="D29" s="9"/>
      <c r="E29" s="109"/>
      <c r="F29" s="97"/>
      <c r="G29" s="73"/>
      <c r="H29" s="73"/>
      <c r="I29" s="73"/>
      <c r="J29" s="74"/>
      <c r="K29" s="73"/>
      <c r="L29" s="73"/>
      <c r="M29" s="73"/>
      <c r="N29" s="73"/>
      <c r="O29" s="73"/>
      <c r="P29" s="73"/>
      <c r="Q29" s="74"/>
      <c r="R29" s="29">
        <f t="shared" si="0"/>
        <v>0</v>
      </c>
    </row>
    <row r="30" spans="1:18" x14ac:dyDescent="0.25">
      <c r="A30" s="3"/>
      <c r="B30" s="3" t="s">
        <v>17</v>
      </c>
      <c r="C30" s="3"/>
      <c r="D30" s="7">
        <f>SUM(D21:D29)</f>
        <v>0</v>
      </c>
      <c r="E30" s="107">
        <f>SUM(E21:E29)</f>
        <v>613296</v>
      </c>
      <c r="F30" s="96">
        <f>SUM(F21:F29)</f>
        <v>0</v>
      </c>
      <c r="G30" s="27">
        <f t="shared" ref="G30:Q30" si="2">SUM(G21:G29)</f>
        <v>139257</v>
      </c>
      <c r="H30" s="27">
        <f t="shared" si="2"/>
        <v>474039</v>
      </c>
      <c r="I30" s="27">
        <f t="shared" si="2"/>
        <v>0</v>
      </c>
      <c r="J30" s="55">
        <f t="shared" si="2"/>
        <v>0</v>
      </c>
      <c r="K30" s="27">
        <f t="shared" si="2"/>
        <v>0</v>
      </c>
      <c r="L30" s="27">
        <f t="shared" si="2"/>
        <v>0</v>
      </c>
      <c r="M30" s="27">
        <f t="shared" si="2"/>
        <v>0</v>
      </c>
      <c r="N30" s="27">
        <f t="shared" si="2"/>
        <v>0</v>
      </c>
      <c r="O30" s="27">
        <f t="shared" si="2"/>
        <v>0</v>
      </c>
      <c r="P30" s="27">
        <f t="shared" si="2"/>
        <v>0</v>
      </c>
      <c r="Q30" s="55">
        <f t="shared" si="2"/>
        <v>0</v>
      </c>
      <c r="R30" s="29">
        <f t="shared" si="0"/>
        <v>613296</v>
      </c>
    </row>
    <row r="31" spans="1:18" x14ac:dyDescent="0.25">
      <c r="A31" s="3" t="s">
        <v>13</v>
      </c>
      <c r="B31" s="3"/>
      <c r="C31" s="3"/>
      <c r="D31" s="7"/>
      <c r="E31" s="107"/>
      <c r="F31" s="96"/>
      <c r="G31" s="53"/>
      <c r="H31" s="53"/>
      <c r="I31" s="53"/>
      <c r="J31" s="54"/>
      <c r="K31" s="53"/>
      <c r="L31" s="53"/>
      <c r="M31" s="53"/>
      <c r="N31" s="53"/>
      <c r="O31" s="53"/>
      <c r="P31" s="53"/>
      <c r="Q31" s="54"/>
      <c r="R31" s="29">
        <f t="shared" si="0"/>
        <v>0</v>
      </c>
    </row>
    <row r="32" spans="1:18" x14ac:dyDescent="0.25">
      <c r="A32" s="3"/>
      <c r="B32" s="3"/>
      <c r="C32" s="3" t="s">
        <v>14</v>
      </c>
      <c r="D32" s="7"/>
      <c r="E32" s="107"/>
      <c r="F32" s="96"/>
      <c r="G32" s="53"/>
      <c r="H32" s="53"/>
      <c r="I32" s="53"/>
      <c r="J32" s="54"/>
      <c r="K32" s="53"/>
      <c r="L32" s="53"/>
      <c r="M32" s="53"/>
      <c r="N32" s="53"/>
      <c r="O32" s="53"/>
      <c r="P32" s="53"/>
      <c r="Q32" s="54"/>
      <c r="R32" s="29">
        <f t="shared" si="0"/>
        <v>0</v>
      </c>
    </row>
    <row r="33" spans="1:18" x14ac:dyDescent="0.25">
      <c r="A33" s="3"/>
      <c r="B33" s="3"/>
      <c r="C33" s="3" t="s">
        <v>15</v>
      </c>
      <c r="D33" s="7">
        <f>E33-F33-G33-H33-I33</f>
        <v>16364756</v>
      </c>
      <c r="E33" s="110">
        <f>SUM(F33:Q33)</f>
        <v>16364756</v>
      </c>
      <c r="F33" s="96"/>
      <c r="G33" s="53"/>
      <c r="H33" s="53"/>
      <c r="I33" s="53">
        <f t="shared" ref="I33:O33" si="3">I45</f>
        <v>0</v>
      </c>
      <c r="J33" s="54">
        <f t="shared" si="3"/>
        <v>0</v>
      </c>
      <c r="K33" s="53">
        <f t="shared" si="3"/>
        <v>741601</v>
      </c>
      <c r="L33" s="53">
        <f t="shared" si="3"/>
        <v>600216</v>
      </c>
      <c r="M33" s="53">
        <f t="shared" si="3"/>
        <v>7306266</v>
      </c>
      <c r="N33" s="53">
        <f t="shared" si="3"/>
        <v>5016969</v>
      </c>
      <c r="O33" s="53">
        <f t="shared" si="3"/>
        <v>2699704</v>
      </c>
      <c r="P33" s="53"/>
      <c r="Q33" s="54"/>
      <c r="R33" s="29">
        <f t="shared" si="0"/>
        <v>16364756</v>
      </c>
    </row>
    <row r="34" spans="1:18" x14ac:dyDescent="0.25">
      <c r="A34" s="3"/>
      <c r="B34" s="3"/>
      <c r="C34" s="3"/>
      <c r="D34" s="7"/>
      <c r="E34" s="107"/>
      <c r="F34" s="96"/>
      <c r="G34" s="53"/>
      <c r="H34" s="53"/>
      <c r="I34" s="53"/>
      <c r="J34" s="54"/>
      <c r="K34" s="53"/>
      <c r="L34" s="53"/>
      <c r="M34" s="53"/>
      <c r="N34" s="53"/>
      <c r="O34" s="53"/>
      <c r="P34" s="53"/>
      <c r="Q34" s="54"/>
      <c r="R34" s="29">
        <f t="shared" si="0"/>
        <v>0</v>
      </c>
    </row>
    <row r="35" spans="1:18" x14ac:dyDescent="0.25">
      <c r="A35" s="3"/>
      <c r="B35" s="3"/>
      <c r="C35" s="3"/>
      <c r="D35" s="9"/>
      <c r="E35" s="109"/>
      <c r="F35" s="97"/>
      <c r="G35" s="73"/>
      <c r="H35" s="73"/>
      <c r="I35" s="73"/>
      <c r="J35" s="74"/>
      <c r="K35" s="73"/>
      <c r="L35" s="73"/>
      <c r="M35" s="73"/>
      <c r="N35" s="73"/>
      <c r="O35" s="73"/>
      <c r="P35" s="73"/>
      <c r="Q35" s="74"/>
      <c r="R35" s="29">
        <f t="shared" si="0"/>
        <v>0</v>
      </c>
    </row>
    <row r="36" spans="1:18" x14ac:dyDescent="0.25">
      <c r="A36" s="3"/>
      <c r="B36" s="3" t="s">
        <v>18</v>
      </c>
      <c r="C36" s="3"/>
      <c r="D36" s="7">
        <f>SUM(D32:D35)</f>
        <v>16364756</v>
      </c>
      <c r="E36" s="107">
        <f>SUM(E32:E35)</f>
        <v>16364756</v>
      </c>
      <c r="F36" s="96">
        <f>SUM(F32:F35)</f>
        <v>0</v>
      </c>
      <c r="G36" s="27">
        <f t="shared" ref="G36:Q36" si="4">SUM(G32:G35)</f>
        <v>0</v>
      </c>
      <c r="H36" s="27">
        <f t="shared" si="4"/>
        <v>0</v>
      </c>
      <c r="I36" s="27">
        <f t="shared" si="4"/>
        <v>0</v>
      </c>
      <c r="J36" s="55">
        <f t="shared" si="4"/>
        <v>0</v>
      </c>
      <c r="K36" s="27">
        <f t="shared" si="4"/>
        <v>741601</v>
      </c>
      <c r="L36" s="27">
        <f t="shared" si="4"/>
        <v>600216</v>
      </c>
      <c r="M36" s="27">
        <f t="shared" si="4"/>
        <v>7306266</v>
      </c>
      <c r="N36" s="27">
        <f t="shared" si="4"/>
        <v>5016969</v>
      </c>
      <c r="O36" s="27">
        <f t="shared" si="4"/>
        <v>2699704</v>
      </c>
      <c r="P36" s="27">
        <f t="shared" si="4"/>
        <v>0</v>
      </c>
      <c r="Q36" s="55">
        <f t="shared" si="4"/>
        <v>0</v>
      </c>
      <c r="R36" s="29">
        <f t="shared" si="0"/>
        <v>16364756</v>
      </c>
    </row>
    <row r="37" spans="1:18" x14ac:dyDescent="0.25">
      <c r="A37" s="3"/>
      <c r="B37" s="3"/>
      <c r="C37" s="3"/>
      <c r="D37" s="11"/>
      <c r="E37" s="11"/>
      <c r="F37" s="48"/>
      <c r="G37" s="53"/>
      <c r="H37" s="53"/>
      <c r="I37" s="53"/>
      <c r="J37" s="54"/>
      <c r="K37" s="53"/>
      <c r="L37" s="53"/>
      <c r="M37" s="53"/>
      <c r="N37" s="53"/>
      <c r="O37" s="53"/>
      <c r="P37" s="53"/>
      <c r="Q37" s="54"/>
      <c r="R37" s="29">
        <f t="shared" si="0"/>
        <v>0</v>
      </c>
    </row>
    <row r="38" spans="1:18" x14ac:dyDescent="0.25">
      <c r="A38" s="3" t="s">
        <v>30</v>
      </c>
      <c r="B38" s="3"/>
      <c r="C38" s="3"/>
      <c r="D38" s="11">
        <f>D36+D30+D19</f>
        <v>16364756</v>
      </c>
      <c r="E38" s="11">
        <f>E36+E30+E19</f>
        <v>17242134</v>
      </c>
      <c r="F38" s="48">
        <f>F36+F30+F19</f>
        <v>264082</v>
      </c>
      <c r="G38" s="27">
        <f t="shared" ref="G38:Q38" si="5">G36+G30+G19</f>
        <v>139257</v>
      </c>
      <c r="H38" s="27">
        <f t="shared" si="5"/>
        <v>474039</v>
      </c>
      <c r="I38" s="27">
        <f t="shared" si="5"/>
        <v>0</v>
      </c>
      <c r="J38" s="55">
        <f t="shared" si="5"/>
        <v>0</v>
      </c>
      <c r="K38" s="27">
        <f t="shared" si="5"/>
        <v>741601</v>
      </c>
      <c r="L38" s="27">
        <f t="shared" si="5"/>
        <v>600216</v>
      </c>
      <c r="M38" s="27">
        <f t="shared" si="5"/>
        <v>7306266</v>
      </c>
      <c r="N38" s="27">
        <f t="shared" si="5"/>
        <v>5016969</v>
      </c>
      <c r="O38" s="27">
        <f t="shared" si="5"/>
        <v>2699704</v>
      </c>
      <c r="P38" s="27">
        <f t="shared" si="5"/>
        <v>0</v>
      </c>
      <c r="Q38" s="55">
        <f t="shared" si="5"/>
        <v>0</v>
      </c>
      <c r="R38" s="29">
        <f t="shared" si="0"/>
        <v>16978052</v>
      </c>
    </row>
    <row r="39" spans="1:18" x14ac:dyDescent="0.25">
      <c r="A39" s="3"/>
      <c r="B39" s="3"/>
      <c r="C39" s="3"/>
      <c r="D39" s="11"/>
      <c r="E39" s="11"/>
      <c r="F39" s="48"/>
      <c r="G39" s="28"/>
      <c r="H39" s="28"/>
      <c r="I39" s="28"/>
      <c r="J39" s="8"/>
      <c r="K39" s="8"/>
      <c r="L39" s="8"/>
      <c r="M39" s="8"/>
      <c r="N39" s="8"/>
      <c r="O39" s="8"/>
      <c r="P39" s="8"/>
      <c r="Q39" s="8"/>
      <c r="R39" s="26"/>
    </row>
    <row r="40" spans="1:18" ht="18.75" x14ac:dyDescent="0.3">
      <c r="A40" s="31" t="s">
        <v>2</v>
      </c>
      <c r="B40" s="10"/>
      <c r="C40" s="10"/>
      <c r="D40" s="12"/>
      <c r="E40" s="12"/>
      <c r="F40" s="98"/>
      <c r="G40" s="94"/>
      <c r="H40" s="103"/>
      <c r="I40" s="10"/>
      <c r="J40" s="10"/>
      <c r="K40" s="10"/>
      <c r="L40" s="10"/>
      <c r="M40" s="10"/>
      <c r="N40" s="10"/>
      <c r="O40" s="10"/>
      <c r="P40" s="10"/>
      <c r="Q40" s="10"/>
      <c r="R40" s="26"/>
    </row>
    <row r="41" spans="1:18" ht="30" x14ac:dyDescent="0.25">
      <c r="A41" s="4"/>
      <c r="B41" s="4"/>
      <c r="C41" s="4" t="s">
        <v>69</v>
      </c>
      <c r="D41" s="20" t="s">
        <v>81</v>
      </c>
      <c r="E41" s="20" t="s">
        <v>79</v>
      </c>
      <c r="F41" s="99" t="s">
        <v>77</v>
      </c>
      <c r="G41" s="4">
        <v>2018</v>
      </c>
      <c r="H41" s="4">
        <v>2019</v>
      </c>
      <c r="I41" s="4">
        <v>2020</v>
      </c>
      <c r="J41" s="101">
        <v>2021</v>
      </c>
      <c r="K41" s="4">
        <v>2022</v>
      </c>
      <c r="L41" s="4">
        <v>2023</v>
      </c>
      <c r="M41" s="4">
        <v>2024</v>
      </c>
      <c r="N41" s="4">
        <v>2025</v>
      </c>
      <c r="O41" s="4">
        <v>2026</v>
      </c>
      <c r="P41" s="4">
        <v>2027</v>
      </c>
      <c r="Q41" s="4">
        <v>2028</v>
      </c>
      <c r="R41" s="22" t="s">
        <v>33</v>
      </c>
    </row>
    <row r="42" spans="1:18" x14ac:dyDescent="0.25">
      <c r="D42" s="7"/>
      <c r="E42" s="107"/>
      <c r="F42" s="96"/>
      <c r="G42" s="43"/>
      <c r="H42" s="43"/>
      <c r="I42" s="136"/>
      <c r="J42" s="104"/>
      <c r="R42" s="29">
        <f t="shared" ref="R42:R60" si="6">SUM(G42:Q42)</f>
        <v>0</v>
      </c>
    </row>
    <row r="43" spans="1:18" x14ac:dyDescent="0.25">
      <c r="A43" t="s">
        <v>55</v>
      </c>
      <c r="D43" s="7"/>
      <c r="E43" s="107"/>
      <c r="F43" s="96"/>
      <c r="G43" s="28"/>
      <c r="H43" s="28"/>
      <c r="I43" s="28"/>
      <c r="J43" s="41"/>
      <c r="K43" s="8"/>
      <c r="L43" s="8"/>
      <c r="M43" s="8"/>
      <c r="N43" s="8"/>
      <c r="O43" s="8"/>
      <c r="P43" s="8"/>
      <c r="Q43" s="8"/>
      <c r="R43" s="29">
        <f t="shared" si="6"/>
        <v>0</v>
      </c>
    </row>
    <row r="44" spans="1:18" x14ac:dyDescent="0.25">
      <c r="D44" s="7"/>
      <c r="E44" s="107"/>
      <c r="F44" s="96"/>
      <c r="G44" s="28"/>
      <c r="H44" s="28"/>
      <c r="I44" s="28"/>
      <c r="J44" s="41" t="s">
        <v>150</v>
      </c>
      <c r="K44" s="28"/>
      <c r="L44" s="28"/>
      <c r="M44" s="28"/>
      <c r="N44" s="28"/>
      <c r="O44" s="28"/>
      <c r="P44" s="28"/>
      <c r="Q44" s="41"/>
      <c r="R44" s="29">
        <f t="shared" si="6"/>
        <v>0</v>
      </c>
    </row>
    <row r="45" spans="1:18" x14ac:dyDescent="0.25">
      <c r="B45" t="s">
        <v>202</v>
      </c>
      <c r="D45" s="16">
        <f>SUM(D47:D52)</f>
        <v>16364756</v>
      </c>
      <c r="E45" s="110">
        <f>SUM(F45:Q45)</f>
        <v>16628838</v>
      </c>
      <c r="F45" s="100">
        <f>SUM(F46:F52)</f>
        <v>264082</v>
      </c>
      <c r="G45" s="87">
        <f>SUM(G47:G52)</f>
        <v>0</v>
      </c>
      <c r="H45" s="87">
        <f>SUM(H47:H52)</f>
        <v>0</v>
      </c>
      <c r="I45" s="87">
        <f>SUM(I47:I52)</f>
        <v>0</v>
      </c>
      <c r="J45" s="105">
        <f>SUM(J47:J52)</f>
        <v>0</v>
      </c>
      <c r="K45" s="87">
        <f t="shared" ref="K45:P45" si="7">SUM(K47:K52)</f>
        <v>741601</v>
      </c>
      <c r="L45" s="87">
        <f t="shared" si="7"/>
        <v>600216</v>
      </c>
      <c r="M45" s="42">
        <f t="shared" si="7"/>
        <v>7306266</v>
      </c>
      <c r="N45" s="42">
        <f t="shared" si="7"/>
        <v>5016969</v>
      </c>
      <c r="O45" s="42">
        <f t="shared" si="7"/>
        <v>2699704</v>
      </c>
      <c r="P45" s="42">
        <f t="shared" si="7"/>
        <v>0</v>
      </c>
      <c r="Q45" s="53"/>
      <c r="R45" s="29">
        <f t="shared" si="6"/>
        <v>16364756</v>
      </c>
    </row>
    <row r="46" spans="1:18" x14ac:dyDescent="0.25">
      <c r="D46" s="16"/>
      <c r="E46" s="110"/>
      <c r="F46" s="100"/>
      <c r="G46" s="28">
        <f>SUM(G47:G52)</f>
        <v>0</v>
      </c>
      <c r="H46" s="28"/>
      <c r="I46" s="28"/>
      <c r="J46" s="41"/>
      <c r="K46" s="28"/>
      <c r="L46" s="28"/>
      <c r="M46" s="28"/>
      <c r="N46" s="28"/>
      <c r="O46" s="28"/>
      <c r="P46" s="28"/>
      <c r="Q46" s="41"/>
      <c r="R46" s="29">
        <f t="shared" si="6"/>
        <v>0</v>
      </c>
    </row>
    <row r="47" spans="1:18" x14ac:dyDescent="0.25">
      <c r="C47" t="s">
        <v>20</v>
      </c>
      <c r="D47" s="16">
        <f t="shared" ref="D47:D52" si="8">E47-F47-G47-H47-I47</f>
        <v>1072179</v>
      </c>
      <c r="E47" s="110">
        <f t="shared" ref="E47:E52" si="9">SUM(F47:Q47)</f>
        <v>1336261</v>
      </c>
      <c r="F47" s="100">
        <v>264082</v>
      </c>
      <c r="G47" s="28"/>
      <c r="H47" s="28"/>
      <c r="I47" s="28"/>
      <c r="J47" s="41"/>
      <c r="K47" s="28">
        <v>635658</v>
      </c>
      <c r="L47" s="28">
        <v>436521</v>
      </c>
      <c r="M47" s="28"/>
      <c r="N47" s="28"/>
      <c r="O47" s="28"/>
      <c r="P47" s="28"/>
      <c r="Q47" s="41"/>
      <c r="R47" s="29">
        <f t="shared" si="6"/>
        <v>1072179</v>
      </c>
    </row>
    <row r="48" spans="1:18" x14ac:dyDescent="0.25">
      <c r="C48" t="s">
        <v>21</v>
      </c>
      <c r="D48" s="16">
        <f t="shared" si="8"/>
        <v>269638</v>
      </c>
      <c r="E48" s="110">
        <f t="shared" si="9"/>
        <v>269638</v>
      </c>
      <c r="F48" s="100"/>
      <c r="G48" s="28"/>
      <c r="H48" s="28"/>
      <c r="I48" s="28"/>
      <c r="J48" s="41"/>
      <c r="K48" s="28">
        <v>105943</v>
      </c>
      <c r="L48" s="28">
        <v>163695</v>
      </c>
      <c r="M48" s="28"/>
      <c r="N48" s="28"/>
      <c r="O48" s="28"/>
      <c r="P48" s="28"/>
      <c r="Q48" s="41"/>
      <c r="R48" s="29">
        <f t="shared" si="6"/>
        <v>269638</v>
      </c>
    </row>
    <row r="49" spans="2:18" x14ac:dyDescent="0.25">
      <c r="C49" t="s">
        <v>22</v>
      </c>
      <c r="D49" s="16">
        <f t="shared" si="8"/>
        <v>0</v>
      </c>
      <c r="E49" s="110">
        <f t="shared" si="9"/>
        <v>0</v>
      </c>
      <c r="F49" s="100"/>
      <c r="G49" s="28"/>
      <c r="H49" s="28"/>
      <c r="I49" s="28"/>
      <c r="J49" s="41"/>
      <c r="K49" s="28"/>
      <c r="L49" s="28"/>
      <c r="M49" s="28"/>
      <c r="N49" s="28"/>
      <c r="O49" s="28"/>
      <c r="P49" s="28"/>
      <c r="Q49" s="41"/>
      <c r="R49" s="29">
        <f t="shared" si="6"/>
        <v>0</v>
      </c>
    </row>
    <row r="50" spans="2:18" x14ac:dyDescent="0.25">
      <c r="C50" t="s">
        <v>37</v>
      </c>
      <c r="D50" s="16">
        <f t="shared" si="8"/>
        <v>1421912</v>
      </c>
      <c r="E50" s="110">
        <f t="shared" si="9"/>
        <v>1421912</v>
      </c>
      <c r="F50" s="100"/>
      <c r="G50" s="28"/>
      <c r="H50" s="28"/>
      <c r="I50" s="28"/>
      <c r="J50" s="41"/>
      <c r="K50" s="28"/>
      <c r="L50" s="28"/>
      <c r="M50" s="28">
        <v>843031</v>
      </c>
      <c r="N50" s="28">
        <v>578881</v>
      </c>
      <c r="O50" s="28"/>
      <c r="P50" s="28"/>
      <c r="Q50" s="41"/>
      <c r="R50" s="29">
        <f t="shared" si="6"/>
        <v>1421912</v>
      </c>
    </row>
    <row r="51" spans="2:18" x14ac:dyDescent="0.25">
      <c r="C51" t="s">
        <v>23</v>
      </c>
      <c r="D51" s="16">
        <f t="shared" si="8"/>
        <v>12179115</v>
      </c>
      <c r="E51" s="110">
        <f t="shared" si="9"/>
        <v>12179115</v>
      </c>
      <c r="F51" s="100"/>
      <c r="G51" s="28"/>
      <c r="H51" s="28"/>
      <c r="I51" s="28"/>
      <c r="J51" s="41"/>
      <c r="K51" s="28"/>
      <c r="L51" s="28"/>
      <c r="M51" s="28">
        <v>5620204</v>
      </c>
      <c r="N51" s="28">
        <v>3859207</v>
      </c>
      <c r="O51" s="28">
        <f>609704+2033365+56635</f>
        <v>2699704</v>
      </c>
      <c r="P51" s="28"/>
      <c r="Q51" s="41"/>
      <c r="R51" s="29">
        <f t="shared" si="6"/>
        <v>12179115</v>
      </c>
    </row>
    <row r="52" spans="2:18" x14ac:dyDescent="0.25">
      <c r="C52" t="s">
        <v>39</v>
      </c>
      <c r="D52" s="16">
        <f t="shared" si="8"/>
        <v>1421912</v>
      </c>
      <c r="E52" s="110">
        <f t="shared" si="9"/>
        <v>1421912</v>
      </c>
      <c r="F52" s="100"/>
      <c r="G52" s="28"/>
      <c r="H52" s="28"/>
      <c r="I52" s="28"/>
      <c r="J52" s="41"/>
      <c r="K52" s="28"/>
      <c r="L52" s="28"/>
      <c r="M52" s="28">
        <v>843031</v>
      </c>
      <c r="N52" s="28">
        <v>578881</v>
      </c>
      <c r="O52" s="28"/>
      <c r="P52" s="28"/>
      <c r="Q52" s="41"/>
      <c r="R52" s="29">
        <f t="shared" si="6"/>
        <v>1421912</v>
      </c>
    </row>
    <row r="53" spans="2:18" x14ac:dyDescent="0.25">
      <c r="D53" s="16"/>
      <c r="E53" s="110"/>
      <c r="F53" s="100"/>
      <c r="G53" s="28"/>
      <c r="H53" s="28"/>
      <c r="I53" s="28"/>
      <c r="J53" s="41"/>
      <c r="K53" s="28"/>
      <c r="L53" s="28"/>
      <c r="M53" s="28"/>
      <c r="N53" s="28"/>
      <c r="O53" s="28"/>
      <c r="P53" s="28"/>
      <c r="Q53" s="41"/>
      <c r="R53" s="29">
        <f t="shared" si="6"/>
        <v>0</v>
      </c>
    </row>
    <row r="54" spans="2:18" x14ac:dyDescent="0.25">
      <c r="D54" s="16"/>
      <c r="E54" s="110"/>
      <c r="F54" s="100"/>
      <c r="G54" s="28"/>
      <c r="H54" s="28"/>
      <c r="I54" s="28"/>
      <c r="J54" s="41"/>
      <c r="K54" s="28"/>
      <c r="L54" s="28"/>
      <c r="M54" s="28"/>
      <c r="N54" s="28"/>
      <c r="O54" s="28"/>
      <c r="P54" s="28"/>
      <c r="Q54" s="41"/>
      <c r="R54" s="29">
        <f t="shared" si="6"/>
        <v>0</v>
      </c>
    </row>
    <row r="55" spans="2:18" x14ac:dyDescent="0.25">
      <c r="B55" t="s">
        <v>203</v>
      </c>
      <c r="C55" s="70"/>
      <c r="D55" s="16">
        <f>SUM(D57:D62)</f>
        <v>0</v>
      </c>
      <c r="E55" s="110">
        <f>SUM(F55:Q55)</f>
        <v>613296</v>
      </c>
      <c r="F55" s="100">
        <f>SUM(F57:F62)</f>
        <v>0</v>
      </c>
      <c r="G55" s="87">
        <f>SUM(G56:G62)</f>
        <v>139257</v>
      </c>
      <c r="H55" s="87">
        <f>SUM(H56:H62)</f>
        <v>474039</v>
      </c>
      <c r="I55" s="87">
        <f>SUM(I56:I62)</f>
        <v>0</v>
      </c>
      <c r="J55" s="172">
        <f>SUM(J56:J62)</f>
        <v>0</v>
      </c>
      <c r="K55" s="42">
        <f t="shared" ref="K55:Q55" si="10">SUM(K57:K62)</f>
        <v>0</v>
      </c>
      <c r="L55" s="28">
        <f t="shared" si="10"/>
        <v>0</v>
      </c>
      <c r="M55" s="28">
        <f t="shared" si="10"/>
        <v>0</v>
      </c>
      <c r="N55" s="28">
        <f t="shared" si="10"/>
        <v>0</v>
      </c>
      <c r="O55" s="28">
        <f t="shared" si="10"/>
        <v>0</v>
      </c>
      <c r="P55" s="28">
        <f t="shared" si="10"/>
        <v>0</v>
      </c>
      <c r="Q55" s="41">
        <f t="shared" si="10"/>
        <v>0</v>
      </c>
      <c r="R55" s="29">
        <f t="shared" si="6"/>
        <v>613296</v>
      </c>
    </row>
    <row r="56" spans="2:18" x14ac:dyDescent="0.25">
      <c r="C56" s="70"/>
      <c r="D56" s="16"/>
      <c r="E56" s="110"/>
      <c r="F56" s="100"/>
      <c r="G56" s="28"/>
      <c r="H56" s="28"/>
      <c r="I56" s="28"/>
      <c r="J56" s="41"/>
      <c r="K56" s="28"/>
      <c r="L56" s="28"/>
      <c r="M56" s="28"/>
      <c r="N56" s="28"/>
      <c r="O56" s="28"/>
      <c r="P56" s="28"/>
      <c r="Q56" s="41"/>
      <c r="R56" s="29">
        <f t="shared" si="6"/>
        <v>0</v>
      </c>
    </row>
    <row r="57" spans="2:18" x14ac:dyDescent="0.25">
      <c r="C57" s="70" t="s">
        <v>20</v>
      </c>
      <c r="D57" s="7">
        <f t="shared" ref="D57:D62" si="11">E57-F57-G57-H57-I57</f>
        <v>0</v>
      </c>
      <c r="E57" s="110">
        <f t="shared" ref="E57:E62" si="12">SUM(F57:Q57)</f>
        <v>502992</v>
      </c>
      <c r="F57" s="100"/>
      <c r="G57" s="28">
        <v>139257</v>
      </c>
      <c r="H57" s="28">
        <v>363735</v>
      </c>
      <c r="I57" s="28">
        <f>20008-20008</f>
        <v>0</v>
      </c>
      <c r="J57" s="41"/>
      <c r="K57" s="28"/>
      <c r="L57" s="28"/>
      <c r="M57" s="28"/>
      <c r="N57" s="28"/>
      <c r="O57" s="28"/>
      <c r="P57" s="28"/>
      <c r="Q57" s="41"/>
      <c r="R57" s="29">
        <f t="shared" si="6"/>
        <v>502992</v>
      </c>
    </row>
    <row r="58" spans="2:18" x14ac:dyDescent="0.25">
      <c r="C58" s="70" t="s">
        <v>21</v>
      </c>
      <c r="D58" s="7">
        <f t="shared" si="11"/>
        <v>0</v>
      </c>
      <c r="E58" s="110">
        <f t="shared" si="12"/>
        <v>0</v>
      </c>
      <c r="F58" s="100"/>
      <c r="G58" s="28">
        <v>0</v>
      </c>
      <c r="H58" s="28"/>
      <c r="I58" s="28"/>
      <c r="J58" s="41"/>
      <c r="K58" s="28"/>
      <c r="L58" s="28"/>
      <c r="M58" s="28"/>
      <c r="N58" s="28"/>
      <c r="O58" s="28"/>
      <c r="P58" s="28"/>
      <c r="Q58" s="41"/>
      <c r="R58" s="29">
        <f t="shared" si="6"/>
        <v>0</v>
      </c>
    </row>
    <row r="59" spans="2:18" x14ac:dyDescent="0.25">
      <c r="C59" s="70" t="s">
        <v>22</v>
      </c>
      <c r="D59" s="7">
        <f t="shared" si="11"/>
        <v>0</v>
      </c>
      <c r="E59" s="110">
        <f t="shared" si="12"/>
        <v>110304</v>
      </c>
      <c r="F59" s="100"/>
      <c r="G59" s="28">
        <v>0</v>
      </c>
      <c r="H59" s="28">
        <v>110304</v>
      </c>
      <c r="I59" s="28">
        <f>589696-589696</f>
        <v>0</v>
      </c>
      <c r="J59" s="41"/>
      <c r="K59" s="28"/>
      <c r="L59" s="28"/>
      <c r="M59" s="28"/>
      <c r="N59" s="28"/>
      <c r="O59" s="28"/>
      <c r="P59" s="28"/>
      <c r="Q59" s="41"/>
      <c r="R59" s="29">
        <f t="shared" si="6"/>
        <v>110304</v>
      </c>
    </row>
    <row r="60" spans="2:18" x14ac:dyDescent="0.25">
      <c r="C60" s="70" t="s">
        <v>37</v>
      </c>
      <c r="D60" s="7">
        <f t="shared" si="11"/>
        <v>0</v>
      </c>
      <c r="E60" s="110">
        <f t="shared" si="12"/>
        <v>0</v>
      </c>
      <c r="F60" s="100"/>
      <c r="G60" s="28">
        <v>0</v>
      </c>
      <c r="H60" s="28"/>
      <c r="I60" s="28"/>
      <c r="J60" s="41">
        <f>305004.75-305004.75</f>
        <v>0</v>
      </c>
      <c r="K60" s="28">
        <f>8495.25-8495.25</f>
        <v>0</v>
      </c>
      <c r="L60" s="28"/>
      <c r="M60" s="28"/>
      <c r="N60" s="28"/>
      <c r="O60" s="28"/>
      <c r="P60" s="28"/>
      <c r="Q60" s="41"/>
      <c r="R60" s="29">
        <f t="shared" si="6"/>
        <v>0</v>
      </c>
    </row>
    <row r="61" spans="2:18" x14ac:dyDescent="0.25">
      <c r="C61" s="70" t="s">
        <v>23</v>
      </c>
      <c r="D61" s="7">
        <f t="shared" si="11"/>
        <v>0</v>
      </c>
      <c r="E61" s="110">
        <f t="shared" si="12"/>
        <v>0</v>
      </c>
      <c r="F61" s="100"/>
      <c r="G61" s="28">
        <v>0</v>
      </c>
      <c r="H61" s="28"/>
      <c r="I61" s="28"/>
      <c r="J61" s="41">
        <f>2033365-J60-J62-2033365</f>
        <v>0</v>
      </c>
      <c r="K61" s="28">
        <f>56635-K60-K62-56635</f>
        <v>0</v>
      </c>
      <c r="L61" s="28"/>
      <c r="M61" s="28"/>
      <c r="N61" s="28"/>
      <c r="O61" s="28"/>
      <c r="P61" s="28"/>
      <c r="Q61" s="41"/>
      <c r="R61" s="29">
        <f t="shared" ref="R61:R67" si="13">SUM(G61:Q61)</f>
        <v>0</v>
      </c>
    </row>
    <row r="62" spans="2:18" x14ac:dyDescent="0.25">
      <c r="C62" s="70" t="s">
        <v>39</v>
      </c>
      <c r="D62" s="7">
        <f t="shared" si="11"/>
        <v>0</v>
      </c>
      <c r="E62" s="110">
        <f t="shared" si="12"/>
        <v>0</v>
      </c>
      <c r="F62" s="100"/>
      <c r="G62" s="28">
        <v>0</v>
      </c>
      <c r="H62" s="28"/>
      <c r="I62" s="28"/>
      <c r="J62" s="41">
        <f>203336.5-203336.5</f>
        <v>0</v>
      </c>
      <c r="K62" s="28">
        <f>5663.5-5663.5</f>
        <v>0</v>
      </c>
      <c r="L62" s="28"/>
      <c r="M62" s="28"/>
      <c r="N62" s="28"/>
      <c r="O62" s="28"/>
      <c r="P62" s="28"/>
      <c r="Q62" s="41"/>
      <c r="R62" s="29">
        <f t="shared" si="13"/>
        <v>0</v>
      </c>
    </row>
    <row r="63" spans="2:18" x14ac:dyDescent="0.25">
      <c r="D63" s="16"/>
      <c r="E63" s="110"/>
      <c r="F63" s="100"/>
      <c r="G63" s="28"/>
      <c r="H63" s="28"/>
      <c r="I63" s="28"/>
      <c r="J63" s="41"/>
      <c r="K63" s="28"/>
      <c r="L63" s="28"/>
      <c r="M63" s="28"/>
      <c r="N63" s="28"/>
      <c r="O63" s="28"/>
      <c r="P63" s="28"/>
      <c r="Q63" s="41"/>
      <c r="R63" s="29">
        <f t="shared" si="13"/>
        <v>0</v>
      </c>
    </row>
    <row r="64" spans="2:18" x14ac:dyDescent="0.25">
      <c r="D64" s="16"/>
      <c r="E64" s="110"/>
      <c r="F64" s="100"/>
      <c r="G64" s="43"/>
      <c r="H64" s="43"/>
      <c r="I64" s="43"/>
      <c r="J64" s="104"/>
      <c r="R64" s="29">
        <f t="shared" si="13"/>
        <v>0</v>
      </c>
    </row>
    <row r="65" spans="1:18" x14ac:dyDescent="0.25">
      <c r="D65" s="17"/>
      <c r="E65" s="17"/>
      <c r="F65" s="78"/>
      <c r="G65" s="43"/>
      <c r="H65" s="43"/>
      <c r="I65" s="43"/>
      <c r="J65" s="104"/>
      <c r="R65" s="29">
        <f t="shared" si="13"/>
        <v>0</v>
      </c>
    </row>
    <row r="66" spans="1:18" ht="15.75" thickBot="1" x14ac:dyDescent="0.3">
      <c r="A66" s="15" t="s">
        <v>31</v>
      </c>
      <c r="B66" s="15"/>
      <c r="C66" s="15"/>
      <c r="D66" s="19">
        <f t="shared" ref="D66:Q66" si="14">D55+D45</f>
        <v>16364756</v>
      </c>
      <c r="E66" s="19">
        <f t="shared" si="14"/>
        <v>17242134</v>
      </c>
      <c r="F66" s="33">
        <f t="shared" si="14"/>
        <v>264082</v>
      </c>
      <c r="G66" s="19">
        <f t="shared" si="14"/>
        <v>139257</v>
      </c>
      <c r="H66" s="19">
        <f t="shared" si="14"/>
        <v>474039</v>
      </c>
      <c r="I66" s="19">
        <f t="shared" si="14"/>
        <v>0</v>
      </c>
      <c r="J66" s="106">
        <f t="shared" si="14"/>
        <v>0</v>
      </c>
      <c r="K66" s="19">
        <f t="shared" si="14"/>
        <v>741601</v>
      </c>
      <c r="L66" s="19">
        <f t="shared" si="14"/>
        <v>600216</v>
      </c>
      <c r="M66" s="19">
        <f t="shared" si="14"/>
        <v>7306266</v>
      </c>
      <c r="N66" s="19">
        <f t="shared" si="14"/>
        <v>5016969</v>
      </c>
      <c r="O66" s="19">
        <f t="shared" si="14"/>
        <v>2699704</v>
      </c>
      <c r="P66" s="19">
        <f t="shared" si="14"/>
        <v>0</v>
      </c>
      <c r="Q66" s="19">
        <f t="shared" si="14"/>
        <v>0</v>
      </c>
      <c r="R66" s="30">
        <f t="shared" si="13"/>
        <v>16978052</v>
      </c>
    </row>
    <row r="67" spans="1:18" ht="15.75" thickTop="1" x14ac:dyDescent="0.25">
      <c r="A67" t="s">
        <v>32</v>
      </c>
      <c r="D67" s="17">
        <f t="shared" ref="D67:Q67" si="15">D38-D66</f>
        <v>0</v>
      </c>
      <c r="E67" s="17">
        <f t="shared" si="15"/>
        <v>0</v>
      </c>
      <c r="F67" s="78">
        <f t="shared" si="15"/>
        <v>0</v>
      </c>
      <c r="G67" s="17">
        <f t="shared" si="15"/>
        <v>0</v>
      </c>
      <c r="H67" s="79">
        <f t="shared" si="15"/>
        <v>0</v>
      </c>
      <c r="I67" s="79">
        <f t="shared" si="15"/>
        <v>0</v>
      </c>
      <c r="J67" s="80">
        <f t="shared" si="15"/>
        <v>0</v>
      </c>
      <c r="K67" s="17">
        <f t="shared" si="15"/>
        <v>0</v>
      </c>
      <c r="L67" s="17">
        <f t="shared" si="15"/>
        <v>0</v>
      </c>
      <c r="M67" s="17">
        <f t="shared" si="15"/>
        <v>0</v>
      </c>
      <c r="N67" s="17">
        <f t="shared" si="15"/>
        <v>0</v>
      </c>
      <c r="O67" s="17">
        <f t="shared" si="15"/>
        <v>0</v>
      </c>
      <c r="P67" s="17">
        <f t="shared" si="15"/>
        <v>0</v>
      </c>
      <c r="Q67" s="17">
        <f t="shared" si="15"/>
        <v>0</v>
      </c>
      <c r="R67" s="29">
        <f t="shared" si="13"/>
        <v>0</v>
      </c>
    </row>
    <row r="68" spans="1:18" x14ac:dyDescent="0.25">
      <c r="D68" s="17"/>
      <c r="E68" s="17"/>
      <c r="F68" s="32"/>
    </row>
    <row r="69" spans="1:18" x14ac:dyDescent="0.25">
      <c r="A69" t="s">
        <v>96</v>
      </c>
      <c r="D69" s="17"/>
      <c r="E69" s="17"/>
      <c r="F69" s="32"/>
    </row>
    <row r="70" spans="1:18" x14ac:dyDescent="0.25">
      <c r="D70" s="17" t="s">
        <v>72</v>
      </c>
      <c r="E70" s="17"/>
      <c r="F70" s="32"/>
      <c r="G70" s="62">
        <f>D33</f>
        <v>16364756</v>
      </c>
    </row>
    <row r="71" spans="1:18" x14ac:dyDescent="0.25">
      <c r="D71" s="17" t="s">
        <v>85</v>
      </c>
      <c r="E71" s="17"/>
      <c r="F71" s="32"/>
      <c r="G71" s="62">
        <f>SUM(J30:Q30)+SUM(J19:Q19)</f>
        <v>0</v>
      </c>
    </row>
    <row r="72" spans="1:18" x14ac:dyDescent="0.25">
      <c r="D72" s="17" t="s">
        <v>84</v>
      </c>
      <c r="E72" s="17"/>
      <c r="F72" s="32"/>
      <c r="G72" s="62">
        <f>SUM(J32:Q32)</f>
        <v>0</v>
      </c>
    </row>
    <row r="73" spans="1:18" x14ac:dyDescent="0.25">
      <c r="D73" s="18"/>
      <c r="E73" s="18"/>
      <c r="F73" s="32"/>
    </row>
    <row r="74" spans="1:18" x14ac:dyDescent="0.25">
      <c r="D74" s="18"/>
      <c r="E74" s="18"/>
      <c r="F74" s="32"/>
    </row>
    <row r="75" spans="1:18" x14ac:dyDescent="0.25">
      <c r="D75" s="13"/>
      <c r="E75" s="13"/>
    </row>
    <row r="76" spans="1:18" x14ac:dyDescent="0.25">
      <c r="D76" s="13"/>
      <c r="E76" s="13"/>
    </row>
    <row r="77" spans="1:18" x14ac:dyDescent="0.25">
      <c r="D77" s="13"/>
      <c r="E77" s="13"/>
    </row>
    <row r="78" spans="1:18" x14ac:dyDescent="0.25">
      <c r="D78" s="13"/>
      <c r="E78" s="13"/>
    </row>
    <row r="79" spans="1:18" x14ac:dyDescent="0.25">
      <c r="D79" s="14"/>
      <c r="E79" s="14"/>
    </row>
    <row r="80" spans="1:18" x14ac:dyDescent="0.25">
      <c r="D80" s="14"/>
      <c r="E80" s="14"/>
    </row>
    <row r="81" spans="4:5" x14ac:dyDescent="0.25">
      <c r="D81" s="14"/>
      <c r="E81" s="14"/>
    </row>
    <row r="82" spans="4:5" x14ac:dyDescent="0.25">
      <c r="D82" s="14"/>
      <c r="E82" s="14"/>
    </row>
  </sheetData>
  <pageMargins left="0.7" right="0.7" top="0.75" bottom="0.75" header="0.3" footer="0.3"/>
  <pageSetup paperSize="17" scale="48"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Summary Sheet - All Projects</vt:lpstr>
      <vt:lpstr>Summary by Phase</vt:lpstr>
      <vt:lpstr>Schedule</vt:lpstr>
      <vt:lpstr>Eligibility Breakdown</vt:lpstr>
      <vt:lpstr>Funding Source Summary</vt:lpstr>
      <vt:lpstr>Independent Utility</vt:lpstr>
      <vt:lpstr>1 North Wenatchee Ave</vt:lpstr>
      <vt:lpstr>2 Confluence Parkway</vt:lpstr>
      <vt:lpstr>3 Cascade Int</vt:lpstr>
      <vt:lpstr>4 Sunset Highway</vt:lpstr>
      <vt:lpstr>Match Calc - Baseline</vt:lpstr>
      <vt:lpstr>'Eligibility Breakdown'!Print_Area</vt:lpstr>
      <vt:lpstr>'Independent Utility'!Print_Area</vt:lpstr>
      <vt:lpstr>'Summary by Phase'!Print_Area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Chad Daggett</cp:lastModifiedBy>
  <cp:lastPrinted>2021-03-09T20:18:14Z</cp:lastPrinted>
  <dcterms:created xsi:type="dcterms:W3CDTF">2017-09-25T19:34:47Z</dcterms:created>
  <dcterms:modified xsi:type="dcterms:W3CDTF">2021-03-19T20:40:48Z</dcterms:modified>
</cp:coreProperties>
</file>